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HMAP" sheetId="14" r:id="rId1"/>
  </sheets>
  <definedNames>
    <definedName name="_xlnm.Print_Area" localSheetId="0">HMAP!$A$1:$E$121</definedName>
  </definedNames>
  <calcPr calcId="145621"/>
</workbook>
</file>

<file path=xl/calcChain.xml><?xml version="1.0" encoding="utf-8"?>
<calcChain xmlns="http://schemas.openxmlformats.org/spreadsheetml/2006/main">
  <c r="B58" i="14" l="1"/>
  <c r="A58" i="14" l="1"/>
  <c r="B121" i="14"/>
  <c r="B120" i="14"/>
  <c r="B109" i="14"/>
  <c r="C109" i="14" s="1"/>
  <c r="B82" i="14"/>
  <c r="D82" i="14" s="1"/>
  <c r="B75" i="14"/>
  <c r="D75" i="14" s="1"/>
  <c r="B74" i="14"/>
  <c r="D74" i="14" s="1"/>
  <c r="B72" i="14"/>
  <c r="D72" i="14" s="1"/>
  <c r="B60" i="14"/>
  <c r="D60" i="14" s="1"/>
  <c r="B59" i="14"/>
  <c r="C59" i="14" s="1"/>
  <c r="R78" i="14"/>
  <c r="S78" i="14" s="1"/>
  <c r="T78" i="14" s="1"/>
  <c r="U78" i="14" s="1"/>
  <c r="B14" i="14"/>
  <c r="V110" i="14"/>
  <c r="V109" i="14"/>
  <c r="V107" i="14"/>
  <c r="W107" i="14" s="1"/>
  <c r="X107" i="14" s="1"/>
  <c r="Y107" i="14" s="1"/>
  <c r="V105" i="14"/>
  <c r="W105" i="14" s="1"/>
  <c r="X105" i="14" s="1"/>
  <c r="Y105" i="14" s="1"/>
  <c r="V104" i="14"/>
  <c r="W104" i="14" s="1"/>
  <c r="X104" i="14" s="1"/>
  <c r="Y104" i="14" s="1"/>
  <c r="V98" i="14"/>
  <c r="W98" i="14" s="1"/>
  <c r="X98" i="14" s="1"/>
  <c r="Y98" i="14" s="1"/>
  <c r="V95" i="14"/>
  <c r="W95" i="14" s="1"/>
  <c r="X95" i="14" s="1"/>
  <c r="Y95" i="14" s="1"/>
  <c r="V94" i="14"/>
  <c r="W94" i="14" s="1"/>
  <c r="X94" i="14" s="1"/>
  <c r="Y94" i="14" s="1"/>
  <c r="V93" i="14"/>
  <c r="W93" i="14" s="1"/>
  <c r="X93" i="14" s="1"/>
  <c r="Y93" i="14" s="1"/>
  <c r="V78" i="14"/>
  <c r="W78" i="14" s="1"/>
  <c r="X78" i="14" s="1"/>
  <c r="Y78" i="14" s="1"/>
  <c r="W124" i="14"/>
  <c r="X124" i="14" s="1"/>
  <c r="Y124" i="14" s="1"/>
  <c r="W123" i="14"/>
  <c r="X123" i="14" s="1"/>
  <c r="Y123" i="14" s="1"/>
  <c r="W110" i="14"/>
  <c r="X110" i="14" s="1"/>
  <c r="Y110" i="14" s="1"/>
  <c r="W109" i="14"/>
  <c r="X109" i="14" s="1"/>
  <c r="Y109" i="14" s="1"/>
  <c r="M122" i="14"/>
  <c r="B119" i="14" s="1"/>
  <c r="M121" i="14"/>
  <c r="B118" i="14" s="1"/>
  <c r="D118" i="14" s="1"/>
  <c r="M120" i="14"/>
  <c r="B117" i="14" s="1"/>
  <c r="M119" i="14"/>
  <c r="B116" i="14" s="1"/>
  <c r="D116" i="14" s="1"/>
  <c r="M118" i="14"/>
  <c r="B115" i="14" s="1"/>
  <c r="M117" i="14"/>
  <c r="B114" i="14" s="1"/>
  <c r="D114" i="14" s="1"/>
  <c r="M116" i="14"/>
  <c r="B113" i="14" s="1"/>
  <c r="M115" i="14"/>
  <c r="B112" i="14" s="1"/>
  <c r="D112" i="14" s="1"/>
  <c r="M114" i="14"/>
  <c r="B111" i="14" s="1"/>
  <c r="D111" i="14" s="1"/>
  <c r="M113" i="14"/>
  <c r="B110" i="14" s="1"/>
  <c r="M111" i="14"/>
  <c r="B108" i="14" s="1"/>
  <c r="D108" i="14" s="1"/>
  <c r="I116" i="14"/>
  <c r="J116" i="14" s="1"/>
  <c r="I122" i="14"/>
  <c r="J122" i="14" s="1"/>
  <c r="I120" i="14"/>
  <c r="J120" i="14" s="1"/>
  <c r="I119" i="14"/>
  <c r="J119" i="14" s="1"/>
  <c r="I118" i="14"/>
  <c r="J118" i="14" s="1"/>
  <c r="I117" i="14"/>
  <c r="J117" i="14" s="1"/>
  <c r="I114" i="14"/>
  <c r="J114" i="14" s="1"/>
  <c r="I113" i="14"/>
  <c r="J113" i="14" s="1"/>
  <c r="I112" i="14"/>
  <c r="J112" i="14" s="1"/>
  <c r="I111" i="14"/>
  <c r="J111" i="14" s="1"/>
  <c r="I110" i="14"/>
  <c r="I109" i="14"/>
  <c r="I107" i="14"/>
  <c r="I106" i="14"/>
  <c r="I105" i="14"/>
  <c r="I104" i="14"/>
  <c r="I103" i="14"/>
  <c r="I102" i="14"/>
  <c r="I101" i="14"/>
  <c r="I100" i="14"/>
  <c r="I98" i="14"/>
  <c r="I97" i="14"/>
  <c r="I96" i="14"/>
  <c r="I95" i="14"/>
  <c r="I94" i="14"/>
  <c r="I93" i="14"/>
  <c r="I92" i="14"/>
  <c r="I91" i="14"/>
  <c r="I87" i="14"/>
  <c r="I84" i="14"/>
  <c r="I78" i="14"/>
  <c r="I77" i="14"/>
  <c r="I70" i="14"/>
  <c r="I68" i="14"/>
  <c r="S47" i="14"/>
  <c r="U47" i="14" s="1"/>
  <c r="S46" i="14"/>
  <c r="U46" i="14" s="1"/>
  <c r="B48" i="14"/>
  <c r="C48" i="14" s="1"/>
  <c r="B37" i="14"/>
  <c r="B44" i="14"/>
  <c r="C44" i="14" s="1"/>
  <c r="B31" i="14"/>
  <c r="R62" i="14"/>
  <c r="S62" i="14" s="1"/>
  <c r="B10" i="14"/>
  <c r="R20" i="14"/>
  <c r="T20" i="14" s="1"/>
  <c r="R19" i="14"/>
  <c r="B32" i="14" s="1"/>
  <c r="R63" i="14"/>
  <c r="S63" i="14" s="1"/>
  <c r="R10" i="14"/>
  <c r="T10" i="14" s="1"/>
  <c r="R9" i="14"/>
  <c r="S9" i="14" s="1"/>
  <c r="T40" i="14"/>
  <c r="U40" i="14" s="1"/>
  <c r="V40" i="14" s="1"/>
  <c r="T39" i="14"/>
  <c r="U39" i="14" s="1"/>
  <c r="V39" i="14" s="1"/>
  <c r="T38" i="14"/>
  <c r="U38" i="14" s="1"/>
  <c r="V38" i="14" s="1"/>
  <c r="T37" i="14"/>
  <c r="U37" i="14" s="1"/>
  <c r="V37" i="14" s="1"/>
  <c r="T36" i="14"/>
  <c r="U36" i="14" s="1"/>
  <c r="V36" i="14" s="1"/>
  <c r="T35" i="14"/>
  <c r="U35" i="14" s="1"/>
  <c r="V35" i="14" s="1"/>
  <c r="T34" i="14"/>
  <c r="U34" i="14" s="1"/>
  <c r="V34" i="14" s="1"/>
  <c r="T33" i="14"/>
  <c r="U33" i="14" s="1"/>
  <c r="V33" i="14" s="1"/>
  <c r="T32" i="14"/>
  <c r="U32" i="14" s="1"/>
  <c r="V32" i="14" s="1"/>
  <c r="T31" i="14"/>
  <c r="U31" i="14" s="1"/>
  <c r="V31" i="14" s="1"/>
  <c r="T30" i="14"/>
  <c r="U30" i="14" s="1"/>
  <c r="V30" i="14" s="1"/>
  <c r="T29" i="14"/>
  <c r="U29" i="14" s="1"/>
  <c r="V29" i="14" s="1"/>
  <c r="T25" i="14"/>
  <c r="U25" i="14" s="1"/>
  <c r="V25" i="14" s="1"/>
  <c r="T15" i="14"/>
  <c r="U15" i="14" s="1"/>
  <c r="V15" i="14" s="1"/>
  <c r="T24" i="14"/>
  <c r="U24" i="14" s="1"/>
  <c r="V24" i="14" s="1"/>
  <c r="T14" i="14"/>
  <c r="U14" i="14" s="1"/>
  <c r="V14" i="14" s="1"/>
  <c r="R5" i="14"/>
  <c r="B26" i="14" s="1"/>
  <c r="R4" i="14"/>
  <c r="R3" i="14"/>
  <c r="R2" i="14"/>
  <c r="L62" i="14"/>
  <c r="K62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51" i="14"/>
  <c r="K51" i="14"/>
  <c r="L50" i="14"/>
  <c r="K50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49" i="14"/>
  <c r="K49" i="14"/>
  <c r="L48" i="14"/>
  <c r="K48" i="14"/>
  <c r="L47" i="14"/>
  <c r="K47" i="14"/>
  <c r="L22" i="14"/>
  <c r="K22" i="14"/>
  <c r="L21" i="14"/>
  <c r="K21" i="14"/>
  <c r="L20" i="14"/>
  <c r="K20" i="14"/>
  <c r="K16" i="14"/>
  <c r="J16" i="14"/>
  <c r="K15" i="14"/>
  <c r="J15" i="14"/>
  <c r="K14" i="14"/>
  <c r="J14" i="14"/>
  <c r="K13" i="14"/>
  <c r="J13" i="14"/>
  <c r="K12" i="14"/>
  <c r="J12" i="14"/>
  <c r="K11" i="14"/>
  <c r="J11" i="14"/>
  <c r="K10" i="14"/>
  <c r="J10" i="14"/>
  <c r="K9" i="14"/>
  <c r="J9" i="14"/>
  <c r="D120" i="14" l="1"/>
  <c r="C72" i="14"/>
  <c r="B16" i="14"/>
  <c r="D16" i="14" s="1"/>
  <c r="C75" i="14"/>
  <c r="C113" i="14"/>
  <c r="D113" i="14"/>
  <c r="C117" i="14"/>
  <c r="D117" i="14"/>
  <c r="D110" i="14"/>
  <c r="C110" i="14"/>
  <c r="C115" i="14"/>
  <c r="D115" i="14"/>
  <c r="D119" i="14"/>
  <c r="C119" i="14"/>
  <c r="C120" i="14"/>
  <c r="D121" i="14"/>
  <c r="D109" i="14"/>
  <c r="C114" i="14"/>
  <c r="D59" i="14"/>
  <c r="C60" i="14"/>
  <c r="C118" i="14"/>
  <c r="C111" i="14"/>
  <c r="D58" i="14"/>
  <c r="C116" i="14"/>
  <c r="C74" i="14"/>
  <c r="C82" i="14"/>
  <c r="C108" i="14"/>
  <c r="C112" i="14"/>
  <c r="C121" i="14"/>
  <c r="C58" i="14"/>
  <c r="Q70" i="14"/>
  <c r="Q74" i="14"/>
  <c r="O70" i="14"/>
  <c r="O73" i="14"/>
  <c r="O77" i="14"/>
  <c r="O85" i="14"/>
  <c r="O89" i="14"/>
  <c r="Q73" i="14"/>
  <c r="Q78" i="14"/>
  <c r="Q85" i="14"/>
  <c r="O74" i="14"/>
  <c r="O78" i="14"/>
  <c r="O86" i="14"/>
  <c r="B77" i="14" s="1"/>
  <c r="O90" i="14"/>
  <c r="Q79" i="14"/>
  <c r="Q87" i="14"/>
  <c r="O71" i="14"/>
  <c r="O75" i="14"/>
  <c r="O79" i="14"/>
  <c r="B70" i="14" s="1"/>
  <c r="D70" i="14" s="1"/>
  <c r="O87" i="14"/>
  <c r="B78" i="14" s="1"/>
  <c r="D78" i="14" s="1"/>
  <c r="Q71" i="14"/>
  <c r="Q75" i="14"/>
  <c r="Q80" i="14"/>
  <c r="Q89" i="14"/>
  <c r="O72" i="14"/>
  <c r="O76" i="14"/>
  <c r="B67" i="14" s="1"/>
  <c r="C67" i="14" s="1"/>
  <c r="O80" i="14"/>
  <c r="B71" i="14" s="1"/>
  <c r="C71" i="14" s="1"/>
  <c r="O88" i="14"/>
  <c r="B79" i="14" s="1"/>
  <c r="D79" i="14" s="1"/>
  <c r="Q72" i="14"/>
  <c r="Q77" i="14"/>
  <c r="Q82" i="14"/>
  <c r="B73" i="14" s="1"/>
  <c r="D73" i="14" s="1"/>
  <c r="Q90" i="14"/>
  <c r="O105" i="14"/>
  <c r="O92" i="14"/>
  <c r="O97" i="14"/>
  <c r="B94" i="14" s="1"/>
  <c r="O102" i="14"/>
  <c r="O108" i="14"/>
  <c r="O94" i="14"/>
  <c r="O100" i="14"/>
  <c r="B97" i="14" s="1"/>
  <c r="O110" i="14"/>
  <c r="O96" i="14"/>
  <c r="O101" i="14"/>
  <c r="B98" i="14" s="1"/>
  <c r="D98" i="14" s="1"/>
  <c r="O106" i="14"/>
  <c r="B103" i="14" s="1"/>
  <c r="O93" i="14"/>
  <c r="O98" i="14"/>
  <c r="B95" i="14" s="1"/>
  <c r="D95" i="14" s="1"/>
  <c r="O104" i="14"/>
  <c r="O109" i="14"/>
  <c r="O95" i="14"/>
  <c r="O99" i="14"/>
  <c r="O103" i="14"/>
  <c r="B100" i="14" s="1"/>
  <c r="D100" i="14" s="1"/>
  <c r="O107" i="14"/>
  <c r="Q92" i="14"/>
  <c r="Q96" i="14"/>
  <c r="Q105" i="14"/>
  <c r="Q110" i="14"/>
  <c r="Q93" i="14"/>
  <c r="Q99" i="14"/>
  <c r="Q107" i="14"/>
  <c r="Q94" i="14"/>
  <c r="Q102" i="14"/>
  <c r="Q108" i="14"/>
  <c r="Q95" i="14"/>
  <c r="Q104" i="14"/>
  <c r="Q109" i="14"/>
  <c r="R57" i="14"/>
  <c r="S57" i="14" s="1"/>
  <c r="T57" i="14" s="1"/>
  <c r="R58" i="14"/>
  <c r="S51" i="14"/>
  <c r="U51" i="14" s="1"/>
  <c r="S49" i="14"/>
  <c r="T47" i="14"/>
  <c r="S50" i="14"/>
  <c r="S48" i="14"/>
  <c r="T19" i="14"/>
  <c r="T46" i="14"/>
  <c r="D48" i="14"/>
  <c r="B45" i="14"/>
  <c r="C45" i="14" s="1"/>
  <c r="D44" i="14"/>
  <c r="S19" i="14"/>
  <c r="B21" i="14"/>
  <c r="D21" i="14" s="1"/>
  <c r="B34" i="14"/>
  <c r="T62" i="14"/>
  <c r="B33" i="14"/>
  <c r="S20" i="14"/>
  <c r="B22" i="14"/>
  <c r="D22" i="14" s="1"/>
  <c r="B23" i="14"/>
  <c r="D23" i="14" s="1"/>
  <c r="U10" i="14" s="1"/>
  <c r="T9" i="14"/>
  <c r="B27" i="14"/>
  <c r="B28" i="14"/>
  <c r="T63" i="14"/>
  <c r="S10" i="14"/>
  <c r="S2" i="14"/>
  <c r="S5" i="14"/>
  <c r="S4" i="14"/>
  <c r="S3" i="14"/>
  <c r="T5" i="14"/>
  <c r="T3" i="14"/>
  <c r="T4" i="14"/>
  <c r="T2" i="14"/>
  <c r="B92" i="14" l="1"/>
  <c r="D92" i="14" s="1"/>
  <c r="B107" i="14"/>
  <c r="C107" i="14" s="1"/>
  <c r="B69" i="14"/>
  <c r="C69" i="14" s="1"/>
  <c r="C70" i="14"/>
  <c r="C73" i="14"/>
  <c r="B90" i="14"/>
  <c r="C90" i="14" s="1"/>
  <c r="B64" i="14"/>
  <c r="D64" i="14" s="1"/>
  <c r="D67" i="14"/>
  <c r="B104" i="14"/>
  <c r="D104" i="14" s="1"/>
  <c r="B65" i="14"/>
  <c r="D65" i="14" s="1"/>
  <c r="C16" i="14"/>
  <c r="B102" i="14"/>
  <c r="C102" i="14" s="1"/>
  <c r="B68" i="14"/>
  <c r="C68" i="14" s="1"/>
  <c r="B96" i="14"/>
  <c r="D103" i="14"/>
  <c r="C103" i="14"/>
  <c r="D97" i="14"/>
  <c r="C97" i="14"/>
  <c r="B61" i="14"/>
  <c r="C95" i="14"/>
  <c r="B101" i="14"/>
  <c r="B91" i="14"/>
  <c r="B89" i="14"/>
  <c r="B66" i="14"/>
  <c r="B81" i="14"/>
  <c r="B76" i="14"/>
  <c r="C100" i="14"/>
  <c r="C78" i="14"/>
  <c r="C98" i="14"/>
  <c r="B93" i="14"/>
  <c r="B105" i="14"/>
  <c r="D102" i="14"/>
  <c r="B63" i="14"/>
  <c r="B62" i="14"/>
  <c r="D77" i="14"/>
  <c r="C77" i="14"/>
  <c r="C79" i="14"/>
  <c r="B99" i="14"/>
  <c r="B106" i="14"/>
  <c r="D94" i="14"/>
  <c r="C94" i="14"/>
  <c r="B80" i="14"/>
  <c r="D71" i="14"/>
  <c r="T51" i="14"/>
  <c r="B50" i="14"/>
  <c r="C50" i="14" s="1"/>
  <c r="B40" i="14"/>
  <c r="C40" i="14" s="1"/>
  <c r="D40" i="14" s="1"/>
  <c r="S58" i="14"/>
  <c r="T58" i="14" s="1"/>
  <c r="T48" i="14"/>
  <c r="B38" i="14"/>
  <c r="U49" i="14"/>
  <c r="T49" i="14"/>
  <c r="B39" i="14"/>
  <c r="B49" i="14"/>
  <c r="U50" i="14"/>
  <c r="T50" i="14"/>
  <c r="U48" i="14"/>
  <c r="D45" i="14"/>
  <c r="C53" i="14"/>
  <c r="M52" i="14"/>
  <c r="M48" i="14"/>
  <c r="M51" i="14"/>
  <c r="M47" i="14"/>
  <c r="M50" i="14"/>
  <c r="M49" i="14"/>
  <c r="M29" i="14"/>
  <c r="M28" i="14"/>
  <c r="M31" i="14"/>
  <c r="M30" i="14"/>
  <c r="M26" i="14"/>
  <c r="M27" i="14"/>
  <c r="U4" i="14"/>
  <c r="C22" i="14"/>
  <c r="C21" i="14"/>
  <c r="U2" i="14"/>
  <c r="C23" i="14"/>
  <c r="D12" i="14"/>
  <c r="U9" i="14"/>
  <c r="D69" i="14" l="1"/>
  <c r="C104" i="14"/>
  <c r="C92" i="14"/>
  <c r="D107" i="14"/>
  <c r="C64" i="14"/>
  <c r="D68" i="14"/>
  <c r="C65" i="14"/>
  <c r="D90" i="14"/>
  <c r="D63" i="14"/>
  <c r="C63" i="14"/>
  <c r="D91" i="14"/>
  <c r="C91" i="14"/>
  <c r="C80" i="14"/>
  <c r="D80" i="14"/>
  <c r="D81" i="14"/>
  <c r="C81" i="14"/>
  <c r="D101" i="14"/>
  <c r="C101" i="14"/>
  <c r="C93" i="14"/>
  <c r="D93" i="14"/>
  <c r="D66" i="14"/>
  <c r="C66" i="14"/>
  <c r="C106" i="14"/>
  <c r="D106" i="14"/>
  <c r="D76" i="14"/>
  <c r="C76" i="14"/>
  <c r="D99" i="14"/>
  <c r="C99" i="14"/>
  <c r="D62" i="14"/>
  <c r="C62" i="14"/>
  <c r="C105" i="14"/>
  <c r="D105" i="14"/>
  <c r="C89" i="14"/>
  <c r="D89" i="14"/>
  <c r="D61" i="14"/>
  <c r="C61" i="14"/>
  <c r="D96" i="14"/>
  <c r="C96" i="14"/>
  <c r="D50" i="14"/>
  <c r="V51" i="14" s="1"/>
  <c r="C49" i="14"/>
  <c r="C54" i="14" s="1"/>
  <c r="D49" i="14"/>
  <c r="W25" i="14"/>
  <c r="W24" i="14"/>
  <c r="D53" i="14"/>
  <c r="C12" i="14"/>
  <c r="D17" i="14" l="1"/>
  <c r="C17" i="14"/>
  <c r="V50" i="14"/>
  <c r="D54" i="14"/>
  <c r="D39" i="14" l="1"/>
  <c r="V49" i="14" s="1"/>
  <c r="D38" i="14"/>
  <c r="V48" i="14" s="1"/>
  <c r="C37" i="14"/>
  <c r="D28" i="14"/>
  <c r="D27" i="14"/>
  <c r="D26" i="14"/>
  <c r="D32" i="14"/>
  <c r="U19" i="14" s="1"/>
  <c r="C33" i="14"/>
  <c r="C34" i="14"/>
  <c r="D34" i="14" s="1"/>
  <c r="D31" i="14"/>
  <c r="D14" i="14"/>
  <c r="D10" i="14"/>
  <c r="U58" i="14" l="1"/>
  <c r="U57" i="14"/>
  <c r="M37" i="14"/>
  <c r="M33" i="14"/>
  <c r="M35" i="14"/>
  <c r="M36" i="14"/>
  <c r="M32" i="14"/>
  <c r="M34" i="14"/>
  <c r="M41" i="14"/>
  <c r="M40" i="14"/>
  <c r="M43" i="14"/>
  <c r="M39" i="14"/>
  <c r="M42" i="14"/>
  <c r="M38" i="14"/>
  <c r="U5" i="14"/>
  <c r="U3" i="14"/>
  <c r="D13" i="14"/>
  <c r="W14" i="14"/>
  <c r="W15" i="14"/>
  <c r="M23" i="14"/>
  <c r="M24" i="14"/>
  <c r="M25" i="14"/>
  <c r="M20" i="14"/>
  <c r="M22" i="14"/>
  <c r="M21" i="14"/>
  <c r="C28" i="14"/>
  <c r="D37" i="14"/>
  <c r="D15" i="14" s="1"/>
  <c r="C39" i="14"/>
  <c r="C38" i="14"/>
  <c r="C27" i="14"/>
  <c r="C26" i="14"/>
  <c r="D33" i="14"/>
  <c r="U20" i="14" s="1"/>
  <c r="C32" i="14"/>
  <c r="C31" i="14"/>
  <c r="C14" i="14"/>
  <c r="C10" i="14"/>
  <c r="C15" i="14" l="1"/>
  <c r="C13" i="14"/>
  <c r="C11" i="14"/>
  <c r="D11" i="14"/>
  <c r="M57" i="14"/>
  <c r="M56" i="14"/>
  <c r="M62" i="14"/>
  <c r="M55" i="14"/>
  <c r="M58" i="14"/>
  <c r="M54" i="14"/>
  <c r="M53" i="14"/>
  <c r="D55" i="14"/>
  <c r="D18" i="14" s="1"/>
</calcChain>
</file>

<file path=xl/sharedStrings.xml><?xml version="1.0" encoding="utf-8"?>
<sst xmlns="http://schemas.openxmlformats.org/spreadsheetml/2006/main" count="640" uniqueCount="177">
  <si>
    <r>
      <t>NO</t>
    </r>
    <r>
      <rPr>
        <vertAlign val="subscript"/>
        <sz val="10"/>
        <rFont val="Arial"/>
        <family val="2"/>
      </rPr>
      <t>X</t>
    </r>
  </si>
  <si>
    <t>CO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</si>
  <si>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</si>
  <si>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</si>
  <si>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r>
      <t>SO</t>
    </r>
    <r>
      <rPr>
        <vertAlign val="subscript"/>
        <sz val="10"/>
        <rFont val="Arial"/>
        <family val="2"/>
      </rPr>
      <t>2</t>
    </r>
  </si>
  <si>
    <t>VOC</t>
  </si>
  <si>
    <t>Lead</t>
  </si>
  <si>
    <t>2-Methylnaphthalene</t>
  </si>
  <si>
    <t>Acenaphthene</t>
  </si>
  <si>
    <t>Acenaphthylene</t>
  </si>
  <si>
    <t>Anthracene</t>
  </si>
  <si>
    <t>Benz(a)anthracene</t>
  </si>
  <si>
    <t>Benzene</t>
  </si>
  <si>
    <t>Benzo(a)pyrene</t>
  </si>
  <si>
    <t>Benzo(b)fluoranthene</t>
  </si>
  <si>
    <t>Benzo(g,h,i)perylene</t>
  </si>
  <si>
    <t>Benzo(k)fluoranthene</t>
  </si>
  <si>
    <t>Chrysene</t>
  </si>
  <si>
    <t>Fluoranthene</t>
  </si>
  <si>
    <t>Fluorene</t>
  </si>
  <si>
    <t>Formaldehyde</t>
  </si>
  <si>
    <t>Indeno(1,2,3-cd)pyrene</t>
  </si>
  <si>
    <t>Naphthalene</t>
  </si>
  <si>
    <t>Phenanathrene</t>
  </si>
  <si>
    <t>Pyrene</t>
  </si>
  <si>
    <t>Toluene</t>
  </si>
  <si>
    <t>Arsenic</t>
  </si>
  <si>
    <t>Beryllium</t>
  </si>
  <si>
    <t>Cadmium</t>
  </si>
  <si>
    <t>Chromium</t>
  </si>
  <si>
    <t>Cobalt</t>
  </si>
  <si>
    <t>Manganese</t>
  </si>
  <si>
    <t>Mercury</t>
  </si>
  <si>
    <t>Nickel</t>
  </si>
  <si>
    <t>Selenium</t>
  </si>
  <si>
    <t>Ethylbenzene</t>
  </si>
  <si>
    <t>o-Xylene</t>
  </si>
  <si>
    <t>Criteria Pollutant</t>
  </si>
  <si>
    <t>Equipment Details</t>
  </si>
  <si>
    <t>Reference</t>
  </si>
  <si>
    <t>Global Warming Potential</t>
  </si>
  <si>
    <t>Methane (mass basis)</t>
  </si>
  <si>
    <t>Emission
Rate
(lbs/hr)</t>
  </si>
  <si>
    <t>Emission
Total
(tons/year)</t>
  </si>
  <si>
    <t>HAP</t>
  </si>
  <si>
    <t>Hazardous Air Pollutant</t>
  </si>
  <si>
    <t>See Below</t>
  </si>
  <si>
    <t>MMBtu/hour</t>
  </si>
  <si>
    <t>AP-42 Table 1.3-11</t>
  </si>
  <si>
    <t>Acetaldehyde</t>
  </si>
  <si>
    <t>Acrolein</t>
  </si>
  <si>
    <t>Phenanthrene</t>
  </si>
  <si>
    <t>Dibenz(a,h)anthracene</t>
  </si>
  <si>
    <t>Annual Production</t>
  </si>
  <si>
    <t>Hourly Rating</t>
  </si>
  <si>
    <t>Type</t>
  </si>
  <si>
    <t>Pollutant</t>
  </si>
  <si>
    <t>Phosphorus</t>
  </si>
  <si>
    <t>Emission Factor
(lb/ton)</t>
  </si>
  <si>
    <t>Fuel</t>
  </si>
  <si>
    <t>Methylene Chloride</t>
  </si>
  <si>
    <t>Styrene</t>
  </si>
  <si>
    <t>Xylene</t>
  </si>
  <si>
    <t>Hot Mix Asphalt Plants</t>
  </si>
  <si>
    <t>Plant Type</t>
  </si>
  <si>
    <t>Fuel Type</t>
  </si>
  <si>
    <t>AP-42 Table 11.1-5 &amp; 7</t>
  </si>
  <si>
    <t>tons/year</t>
  </si>
  <si>
    <t>tons/hour</t>
  </si>
  <si>
    <t>CO Emission Sources</t>
  </si>
  <si>
    <t>Dryer</t>
  </si>
  <si>
    <t>Silo Filling</t>
  </si>
  <si>
    <t>Plant Load-out</t>
  </si>
  <si>
    <t>AP-42 Table 11.1-5,
Table 11.1-7,
Table 11.1-13, &amp;
Table 11.1-14</t>
  </si>
  <si>
    <t>Hot Oil Burner Rating</t>
  </si>
  <si>
    <t>Hot Oil System (EF = lb/MMBtu)</t>
  </si>
  <si>
    <t>VOC Sources</t>
  </si>
  <si>
    <t>GHG Sources</t>
  </si>
  <si>
    <t>Nox</t>
  </si>
  <si>
    <t>lb/MMBtu</t>
  </si>
  <si>
    <t>lb/hr</t>
  </si>
  <si>
    <t>Ton/year</t>
  </si>
  <si>
    <t>BTU/scf or MMBtu/MMscf</t>
  </si>
  <si>
    <t>CO2</t>
  </si>
  <si>
    <t>SO2</t>
  </si>
  <si>
    <t>Methane</t>
  </si>
  <si>
    <t>TOC</t>
  </si>
  <si>
    <t>Check</t>
  </si>
  <si>
    <t>Heating Value of #2 &amp; Distillate</t>
  </si>
  <si>
    <t>MMBtu/1,000 gal</t>
  </si>
  <si>
    <t>Filterable PM10</t>
  </si>
  <si>
    <t>Total PM10</t>
  </si>
  <si>
    <t>PM total</t>
  </si>
  <si>
    <t>Benzo(e)pyrene</t>
  </si>
  <si>
    <t>n-Hexane</t>
  </si>
  <si>
    <t>Perylene</t>
  </si>
  <si>
    <t>lb/ton</t>
  </si>
  <si>
    <t>(lb/ton)</t>
  </si>
  <si>
    <t>Waste Oil</t>
  </si>
  <si>
    <t>Inorganic Cond.</t>
  </si>
  <si>
    <t>Organic Cond.</t>
  </si>
  <si>
    <t>Batch</t>
  </si>
  <si>
    <t>Drum</t>
  </si>
  <si>
    <t>Table 11.1-1</t>
  </si>
  <si>
    <t>Table 11.1-3</t>
  </si>
  <si>
    <t>Table 11.1-1 &amp; 2</t>
  </si>
  <si>
    <t>Table 11.1-3 &amp; 4</t>
  </si>
  <si>
    <t>Fabric Filter Control</t>
  </si>
  <si>
    <t>Filterable PM2.5</t>
  </si>
  <si>
    <t>Table 11.1-2</t>
  </si>
  <si>
    <t>Total PM2.5</t>
  </si>
  <si>
    <t>Table 11.1-4</t>
  </si>
  <si>
    <t>Nat Gas</t>
  </si>
  <si>
    <t>Fuel Oil</t>
  </si>
  <si>
    <t>Table 11.1-5</t>
  </si>
  <si>
    <t>EF</t>
  </si>
  <si>
    <t>Table 11.1-6</t>
  </si>
  <si>
    <t>Table 11.1-7</t>
  </si>
  <si>
    <t>Table 11.1-8</t>
  </si>
  <si>
    <t>HCl</t>
  </si>
  <si>
    <t>Asphalt Volatility</t>
  </si>
  <si>
    <t>Temperature (°F)</t>
  </si>
  <si>
    <t>Dryer Emissions</t>
  </si>
  <si>
    <t>Heating Value of Natural Gas</t>
  </si>
  <si>
    <t>Hot Oil Systems</t>
  </si>
  <si>
    <t>Units</t>
  </si>
  <si>
    <t>lb/ft3</t>
  </si>
  <si>
    <t>lb/gal</t>
  </si>
  <si>
    <t>Total PCDD/PCDF</t>
  </si>
  <si>
    <t>Table 11.1-13</t>
  </si>
  <si>
    <t>Plant Load Out</t>
  </si>
  <si>
    <t>Table 11.1-14</t>
  </si>
  <si>
    <t>Process</t>
  </si>
  <si>
    <t>Organic PM</t>
  </si>
  <si>
    <t>Subset of total PM</t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</si>
  <si>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Sources</t>
    </r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</si>
  <si>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Sources</t>
    </r>
  </si>
  <si>
    <t>Drum Mix</t>
  </si>
  <si>
    <t>AP-42 Table 11.1-1 &amp; 2,
&amp; Table 11.1-3 &amp; 4, 
&amp; Table 11.1-14</t>
  </si>
  <si>
    <t>CO2 Sources</t>
  </si>
  <si>
    <t>AP-42 Table 11.1-6,
Table 11.1-8,
Table 11.1-13, &amp;
Table 11.1-14</t>
  </si>
  <si>
    <t>AP-42 Table 11.1-5, 7,
Table 11.1-13,</t>
  </si>
  <si>
    <t>Methane Sources</t>
  </si>
  <si>
    <t>See Above &amp; 
Table A-1 to
Subpart A of Part 98</t>
  </si>
  <si>
    <t>Table 11.1-16</t>
  </si>
  <si>
    <t>% TOC</t>
  </si>
  <si>
    <t>VOC from Hot Oil Systems = 100% of HAP emitted from Hot Oil Systems.</t>
  </si>
  <si>
    <t>EF (sum)</t>
  </si>
  <si>
    <t>AP-42 Table 11.1-6, 8,
&amp; Table 11.1-14, 16</t>
  </si>
  <si>
    <t>Isooctane (2,2,4-trimethylpentane)</t>
  </si>
  <si>
    <t>Propionaldehyde</t>
  </si>
  <si>
    <t>Quinone</t>
  </si>
  <si>
    <t>Methylchloroform</t>
  </si>
  <si>
    <t>Mixer - HAP Emission Factors (lb/ton)</t>
  </si>
  <si>
    <t>Dioxins</t>
  </si>
  <si>
    <t>Furans</t>
  </si>
  <si>
    <t>Batch Mix (11.1-9 &amp; 11)</t>
  </si>
  <si>
    <t>Hexavalent Chromium</t>
  </si>
  <si>
    <t>Hot Oil Systems (Table 11.1-13)</t>
  </si>
  <si>
    <t>Drum Mix (11.1-10 &amp; 12)</t>
  </si>
  <si>
    <t>% Org PM</t>
  </si>
  <si>
    <t>Plant Loadout</t>
  </si>
  <si>
    <t>EF (lb/ton)</t>
  </si>
  <si>
    <t>Bromomethane</t>
  </si>
  <si>
    <t>2-Butanone</t>
  </si>
  <si>
    <t>Carbon Disulfide</t>
  </si>
  <si>
    <t>Chloroethane</t>
  </si>
  <si>
    <t>Chloromethane</t>
  </si>
  <si>
    <t>Cumene</t>
  </si>
  <si>
    <t>Tetrachloroethene</t>
  </si>
  <si>
    <t>Trichlorofluoromethane</t>
  </si>
  <si>
    <t>m-/p-Xylene</t>
  </si>
  <si>
    <t>AP-42 Table 11.1-8</t>
  </si>
  <si>
    <t>AP-42
Table 11.1-9,
Table 11.1-10,
Table 11.1-11,
Table 11.1-12,
Table 11.1-13,
Table 11.1-14,
Table 11.1-15,
Table 11.1-16</t>
  </si>
  <si>
    <t>Nat Gas + Fuel Oil + Waste Oil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</si>
  <si>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(mass basis)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</si>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</sst>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"/>
    <numFmt numFmtId="165" formatCode="0.0000"/>
    <numFmt numFmtId="166" formatCode="0.0%"/>
    <numFmt numFmtId="168" formatCode="0.0E+00"/>
    <numFmt numFmtId="169" formatCode="0.00000"/>
    <numFmt numFmtId="170" formatCode="0.0000000%"/>
    <numFmt numFmtId="171" formatCode="0.00000%"/>
    <numFmt numFmtId="172" formatCode="0.000%"/>
    <numFmt numFmtId="173" formatCode="0.000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ashed">
        <color indexed="64"/>
      </bottom>
      <diagonal/>
    </border>
    <border>
      <left style="medium">
        <color auto="1"/>
      </left>
      <right/>
      <top style="dashed">
        <color indexed="64"/>
      </top>
      <bottom/>
      <diagonal/>
    </border>
    <border>
      <left/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indexed="64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1"/>
    <xf numFmtId="0" fontId="5" fillId="0" borderId="0" xfId="1" applyFont="1" applyFill="1" applyBorder="1"/>
    <xf numFmtId="0" fontId="2" fillId="0" borderId="0" xfId="1" applyBorder="1"/>
    <xf numFmtId="0" fontId="0" fillId="0" borderId="8" xfId="1" applyFont="1" applyFill="1" applyBorder="1"/>
    <xf numFmtId="0" fontId="0" fillId="2" borderId="10" xfId="1" applyFont="1" applyFill="1" applyBorder="1"/>
    <xf numFmtId="0" fontId="0" fillId="0" borderId="10" xfId="1" applyFont="1" applyFill="1" applyBorder="1"/>
    <xf numFmtId="0" fontId="0" fillId="2" borderId="6" xfId="1" applyFont="1" applyFill="1" applyBorder="1"/>
    <xf numFmtId="0" fontId="3" fillId="4" borderId="24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21" xfId="0" applyFont="1" applyFill="1" applyBorder="1" applyAlignment="1">
      <alignment wrapText="1"/>
    </xf>
    <xf numFmtId="0" fontId="3" fillId="4" borderId="22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0" fillId="0" borderId="10" xfId="1" applyFont="1" applyFill="1" applyBorder="1" applyAlignment="1">
      <alignment horizontal="left"/>
    </xf>
    <xf numFmtId="0" fontId="0" fillId="2" borderId="10" xfId="1" applyFont="1" applyFill="1" applyBorder="1" applyAlignment="1">
      <alignment horizontal="left"/>
    </xf>
    <xf numFmtId="0" fontId="0" fillId="0" borderId="8" xfId="1" applyFont="1" applyFill="1" applyBorder="1" applyAlignment="1">
      <alignment horizontal="left"/>
    </xf>
    <xf numFmtId="0" fontId="0" fillId="0" borderId="6" xfId="1" applyFont="1" applyFill="1" applyBorder="1"/>
    <xf numFmtId="0" fontId="0" fillId="0" borderId="15" xfId="1" applyFont="1" applyFill="1" applyBorder="1" applyAlignment="1">
      <alignment vertical="center" wrapText="1"/>
    </xf>
    <xf numFmtId="0" fontId="0" fillId="0" borderId="11" xfId="1" applyFont="1" applyFill="1" applyBorder="1" applyAlignment="1">
      <alignment vertical="center" wrapText="1"/>
    </xf>
    <xf numFmtId="0" fontId="0" fillId="0" borderId="0" xfId="1" applyFont="1"/>
    <xf numFmtId="0" fontId="2" fillId="3" borderId="0" xfId="1" applyFill="1"/>
    <xf numFmtId="2" fontId="2" fillId="0" borderId="0" xfId="1" applyNumberFormat="1"/>
    <xf numFmtId="0" fontId="0" fillId="0" borderId="0" xfId="1" applyFont="1" applyFill="1"/>
    <xf numFmtId="2" fontId="2" fillId="0" borderId="0" xfId="1" applyNumberFormat="1" applyFill="1"/>
    <xf numFmtId="3" fontId="2" fillId="0" borderId="0" xfId="1" applyNumberFormat="1" applyFill="1"/>
    <xf numFmtId="11" fontId="2" fillId="0" borderId="0" xfId="1" applyNumberFormat="1"/>
    <xf numFmtId="0" fontId="3" fillId="0" borderId="0" xfId="1" applyFont="1"/>
    <xf numFmtId="0" fontId="3" fillId="0" borderId="16" xfId="1" applyFont="1" applyBorder="1"/>
    <xf numFmtId="0" fontId="0" fillId="0" borderId="31" xfId="1" applyFont="1" applyFill="1" applyBorder="1"/>
    <xf numFmtId="2" fontId="2" fillId="0" borderId="31" xfId="1" applyNumberFormat="1" applyFill="1" applyBorder="1"/>
    <xf numFmtId="0" fontId="0" fillId="0" borderId="32" xfId="1" applyFont="1" applyFill="1" applyBorder="1"/>
    <xf numFmtId="165" fontId="2" fillId="0" borderId="32" xfId="1" applyNumberFormat="1" applyFill="1" applyBorder="1"/>
    <xf numFmtId="2" fontId="2" fillId="0" borderId="32" xfId="1" applyNumberFormat="1" applyFill="1" applyBorder="1"/>
    <xf numFmtId="0" fontId="2" fillId="0" borderId="31" xfId="1" applyBorder="1"/>
    <xf numFmtId="0" fontId="2" fillId="0" borderId="32" xfId="1" applyBorder="1"/>
    <xf numFmtId="0" fontId="0" fillId="0" borderId="0" xfId="1" applyFont="1" applyFill="1" applyBorder="1"/>
    <xf numFmtId="165" fontId="2" fillId="0" borderId="0" xfId="1" applyNumberFormat="1" applyFill="1" applyBorder="1"/>
    <xf numFmtId="2" fontId="2" fillId="0" borderId="0" xfId="1" applyNumberFormat="1" applyFill="1" applyBorder="1"/>
    <xf numFmtId="3" fontId="2" fillId="0" borderId="31" xfId="1" applyNumberFormat="1" applyFill="1" applyBorder="1"/>
    <xf numFmtId="3" fontId="2" fillId="0" borderId="32" xfId="1" applyNumberFormat="1" applyFill="1" applyBorder="1"/>
    <xf numFmtId="0" fontId="3" fillId="0" borderId="36" xfId="1" applyFont="1" applyBorder="1"/>
    <xf numFmtId="11" fontId="2" fillId="0" borderId="0" xfId="1" applyNumberFormat="1" applyFill="1" applyBorder="1"/>
    <xf numFmtId="0" fontId="2" fillId="0" borderId="33" xfId="1" applyBorder="1"/>
    <xf numFmtId="0" fontId="0" fillId="0" borderId="16" xfId="1" applyFont="1" applyBorder="1"/>
    <xf numFmtId="0" fontId="3" fillId="0" borderId="35" xfId="1" applyFont="1" applyBorder="1"/>
    <xf numFmtId="0" fontId="2" fillId="0" borderId="34" xfId="1" applyBorder="1"/>
    <xf numFmtId="11" fontId="2" fillId="0" borderId="0" xfId="1" applyNumberFormat="1" applyBorder="1"/>
    <xf numFmtId="2" fontId="2" fillId="0" borderId="0" xfId="1" applyNumberFormat="1" applyBorder="1"/>
    <xf numFmtId="0" fontId="0" fillId="0" borderId="0" xfId="1" applyFont="1" applyBorder="1"/>
    <xf numFmtId="0" fontId="0" fillId="0" borderId="16" xfId="1" applyFont="1" applyFill="1" applyBorder="1"/>
    <xf numFmtId="11" fontId="2" fillId="0" borderId="34" xfId="1" applyNumberFormat="1" applyBorder="1"/>
    <xf numFmtId="0" fontId="0" fillId="0" borderId="29" xfId="1" applyFont="1" applyFill="1" applyBorder="1"/>
    <xf numFmtId="0" fontId="0" fillId="0" borderId="27" xfId="1" applyFont="1" applyFill="1" applyBorder="1"/>
    <xf numFmtId="0" fontId="0" fillId="0" borderId="31" xfId="1" applyFont="1" applyBorder="1"/>
    <xf numFmtId="2" fontId="2" fillId="0" borderId="31" xfId="1" applyNumberFormat="1" applyBorder="1"/>
    <xf numFmtId="0" fontId="0" fillId="0" borderId="32" xfId="1" applyFont="1" applyBorder="1"/>
    <xf numFmtId="0" fontId="2" fillId="0" borderId="0" xfId="1" applyFont="1" applyBorder="1"/>
    <xf numFmtId="165" fontId="2" fillId="0" borderId="0" xfId="1" applyNumberFormat="1" applyBorder="1"/>
    <xf numFmtId="11" fontId="2" fillId="0" borderId="31" xfId="1" applyNumberFormat="1" applyBorder="1"/>
    <xf numFmtId="11" fontId="2" fillId="0" borderId="32" xfId="1" applyNumberFormat="1" applyBorder="1"/>
    <xf numFmtId="2" fontId="2" fillId="0" borderId="32" xfId="1" applyNumberFormat="1" applyBorder="1"/>
    <xf numFmtId="0" fontId="2" fillId="0" borderId="32" xfId="1" applyFont="1" applyBorder="1"/>
    <xf numFmtId="0" fontId="2" fillId="0" borderId="31" xfId="1" applyFont="1" applyBorder="1"/>
    <xf numFmtId="165" fontId="2" fillId="0" borderId="31" xfId="1" applyNumberFormat="1" applyBorder="1"/>
    <xf numFmtId="0" fontId="0" fillId="0" borderId="42" xfId="1" applyFont="1" applyBorder="1"/>
    <xf numFmtId="11" fontId="2" fillId="0" borderId="42" xfId="1" applyNumberFormat="1" applyBorder="1"/>
    <xf numFmtId="0" fontId="2" fillId="0" borderId="42" xfId="1" applyBorder="1"/>
    <xf numFmtId="2" fontId="2" fillId="0" borderId="42" xfId="1" applyNumberFormat="1" applyBorder="1"/>
    <xf numFmtId="3" fontId="2" fillId="0" borderId="42" xfId="1" applyNumberFormat="1" applyBorder="1"/>
    <xf numFmtId="3" fontId="2" fillId="0" borderId="32" xfId="1" applyNumberFormat="1" applyBorder="1"/>
    <xf numFmtId="11" fontId="2" fillId="0" borderId="32" xfId="1" applyNumberFormat="1" applyFill="1" applyBorder="1"/>
    <xf numFmtId="9" fontId="2" fillId="0" borderId="0" xfId="1" applyNumberFormat="1"/>
    <xf numFmtId="9" fontId="2" fillId="0" borderId="31" xfId="1" applyNumberFormat="1" applyBorder="1"/>
    <xf numFmtId="9" fontId="2" fillId="0" borderId="0" xfId="1" applyNumberFormat="1" applyBorder="1"/>
    <xf numFmtId="0" fontId="2" fillId="0" borderId="38" xfId="1" applyBorder="1"/>
    <xf numFmtId="168" fontId="2" fillId="0" borderId="39" xfId="1" applyNumberFormat="1" applyBorder="1"/>
    <xf numFmtId="0" fontId="2" fillId="0" borderId="40" xfId="1" applyBorder="1"/>
    <xf numFmtId="168" fontId="2" fillId="0" borderId="33" xfId="1" applyNumberFormat="1" applyBorder="1"/>
    <xf numFmtId="168" fontId="2" fillId="0" borderId="37" xfId="1" applyNumberFormat="1" applyBorder="1"/>
    <xf numFmtId="168" fontId="2" fillId="0" borderId="0" xfId="1" applyNumberFormat="1" applyBorder="1"/>
    <xf numFmtId="168" fontId="2" fillId="0" borderId="34" xfId="1" applyNumberFormat="1" applyBorder="1"/>
    <xf numFmtId="0" fontId="3" fillId="0" borderId="14" xfId="1" applyFont="1" applyBorder="1"/>
    <xf numFmtId="0" fontId="3" fillId="0" borderId="41" xfId="1" applyFont="1" applyBorder="1"/>
    <xf numFmtId="0" fontId="2" fillId="0" borderId="25" xfId="1" applyBorder="1"/>
    <xf numFmtId="0" fontId="2" fillId="0" borderId="43" xfId="1" applyBorder="1"/>
    <xf numFmtId="168" fontId="2" fillId="0" borderId="25" xfId="1" applyNumberFormat="1" applyBorder="1"/>
    <xf numFmtId="11" fontId="2" fillId="0" borderId="25" xfId="1" applyNumberFormat="1" applyBorder="1"/>
    <xf numFmtId="0" fontId="2" fillId="0" borderId="45" xfId="1" applyBorder="1"/>
    <xf numFmtId="170" fontId="2" fillId="0" borderId="43" xfId="1" applyNumberFormat="1" applyBorder="1"/>
    <xf numFmtId="171" fontId="2" fillId="0" borderId="43" xfId="1" applyNumberFormat="1" applyBorder="1"/>
    <xf numFmtId="173" fontId="2" fillId="0" borderId="43" xfId="1" applyNumberFormat="1" applyBorder="1"/>
    <xf numFmtId="0" fontId="2" fillId="0" borderId="43" xfId="1" applyNumberFormat="1" applyBorder="1"/>
    <xf numFmtId="168" fontId="2" fillId="0" borderId="43" xfId="1" applyNumberFormat="1" applyBorder="1"/>
    <xf numFmtId="0" fontId="2" fillId="0" borderId="47" xfId="1" applyNumberFormat="1" applyBorder="1"/>
    <xf numFmtId="0" fontId="2" fillId="0" borderId="44" xfId="1" applyBorder="1"/>
    <xf numFmtId="170" fontId="2" fillId="0" borderId="47" xfId="1" applyNumberFormat="1" applyBorder="1"/>
    <xf numFmtId="0" fontId="2" fillId="0" borderId="47" xfId="1" applyBorder="1"/>
    <xf numFmtId="11" fontId="2" fillId="0" borderId="44" xfId="1" applyNumberFormat="1" applyBorder="1"/>
    <xf numFmtId="11" fontId="2" fillId="0" borderId="45" xfId="1" applyNumberFormat="1" applyBorder="1"/>
    <xf numFmtId="0" fontId="2" fillId="0" borderId="48" xfId="1" applyBorder="1"/>
    <xf numFmtId="0" fontId="2" fillId="0" borderId="48" xfId="1" applyNumberFormat="1" applyBorder="1"/>
    <xf numFmtId="170" fontId="2" fillId="0" borderId="48" xfId="1" applyNumberFormat="1" applyBorder="1"/>
    <xf numFmtId="0" fontId="3" fillId="0" borderId="49" xfId="1" applyFont="1" applyBorder="1"/>
    <xf numFmtId="0" fontId="3" fillId="0" borderId="50" xfId="1" applyFont="1" applyBorder="1"/>
    <xf numFmtId="0" fontId="2" fillId="0" borderId="51" xfId="1" applyBorder="1"/>
    <xf numFmtId="0" fontId="2" fillId="0" borderId="52" xfId="1" applyBorder="1"/>
    <xf numFmtId="11" fontId="2" fillId="0" borderId="51" xfId="1" applyNumberFormat="1" applyBorder="1"/>
    <xf numFmtId="168" fontId="2" fillId="0" borderId="52" xfId="1" applyNumberFormat="1" applyBorder="1"/>
    <xf numFmtId="0" fontId="2" fillId="0" borderId="53" xfId="1" applyBorder="1"/>
    <xf numFmtId="0" fontId="2" fillId="0" borderId="54" xfId="1" applyBorder="1"/>
    <xf numFmtId="0" fontId="2" fillId="0" borderId="55" xfId="1" applyBorder="1"/>
    <xf numFmtId="0" fontId="2" fillId="0" borderId="56" xfId="1" applyBorder="1"/>
    <xf numFmtId="11" fontId="2" fillId="0" borderId="53" xfId="1" applyNumberFormat="1" applyBorder="1"/>
    <xf numFmtId="168" fontId="2" fillId="0" borderId="54" xfId="1" applyNumberFormat="1" applyBorder="1"/>
    <xf numFmtId="11" fontId="2" fillId="0" borderId="55" xfId="1" applyNumberFormat="1" applyBorder="1"/>
    <xf numFmtId="168" fontId="2" fillId="0" borderId="56" xfId="1" applyNumberFormat="1" applyBorder="1"/>
    <xf numFmtId="0" fontId="0" fillId="0" borderId="58" xfId="1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0" borderId="16" xfId="1" applyFont="1" applyFill="1" applyBorder="1" applyAlignment="1">
      <alignment vertical="center" wrapText="1"/>
    </xf>
    <xf numFmtId="0" fontId="0" fillId="0" borderId="15" xfId="1" applyFont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0" fontId="8" fillId="0" borderId="19" xfId="3" applyFont="1" applyBorder="1"/>
    <xf numFmtId="0" fontId="8" fillId="0" borderId="18" xfId="3" applyFont="1" applyBorder="1"/>
    <xf numFmtId="2" fontId="0" fillId="0" borderId="3" xfId="1" applyNumberFormat="1" applyFont="1" applyFill="1" applyBorder="1"/>
    <xf numFmtId="1" fontId="0" fillId="2" borderId="1" xfId="1" applyNumberFormat="1" applyFont="1" applyFill="1" applyBorder="1"/>
    <xf numFmtId="2" fontId="0" fillId="2" borderId="1" xfId="1" applyNumberFormat="1" applyFont="1" applyFill="1" applyBorder="1"/>
    <xf numFmtId="0" fontId="0" fillId="0" borderId="1" xfId="1" applyFont="1" applyFill="1" applyBorder="1"/>
    <xf numFmtId="2" fontId="0" fillId="0" borderId="1" xfId="1" applyNumberFormat="1" applyFont="1" applyFill="1" applyBorder="1"/>
    <xf numFmtId="0" fontId="0" fillId="2" borderId="1" xfId="1" applyFont="1" applyFill="1" applyBorder="1"/>
    <xf numFmtId="2" fontId="0" fillId="2" borderId="2" xfId="1" applyNumberFormat="1" applyFont="1" applyFill="1" applyBorder="1"/>
    <xf numFmtId="164" fontId="0" fillId="0" borderId="0" xfId="1" applyNumberFormat="1" applyFont="1" applyFill="1" applyBorder="1"/>
    <xf numFmtId="0" fontId="0" fillId="0" borderId="3" xfId="1" applyNumberFormat="1" applyFont="1" applyFill="1" applyBorder="1"/>
    <xf numFmtId="3" fontId="0" fillId="0" borderId="3" xfId="1" applyNumberFormat="1" applyFont="1" applyFill="1" applyBorder="1"/>
    <xf numFmtId="0" fontId="0" fillId="2" borderId="1" xfId="1" applyNumberFormat="1" applyFont="1" applyFill="1" applyBorder="1"/>
    <xf numFmtId="0" fontId="0" fillId="2" borderId="2" xfId="1" applyNumberFormat="1" applyFont="1" applyFill="1" applyBorder="1"/>
    <xf numFmtId="3" fontId="0" fillId="2" borderId="2" xfId="1" applyNumberFormat="1" applyFont="1" applyFill="1" applyBorder="1"/>
    <xf numFmtId="11" fontId="0" fillId="0" borderId="3" xfId="1" applyNumberFormat="1" applyFont="1" applyFill="1" applyBorder="1"/>
    <xf numFmtId="11" fontId="0" fillId="2" borderId="1" xfId="1" applyNumberFormat="1" applyFont="1" applyFill="1" applyBorder="1"/>
    <xf numFmtId="11" fontId="0" fillId="0" borderId="1" xfId="1" applyNumberFormat="1" applyFont="1" applyFill="1" applyBorder="1"/>
    <xf numFmtId="11" fontId="0" fillId="0" borderId="2" xfId="1" applyNumberFormat="1" applyFont="1" applyFill="1" applyBorder="1"/>
    <xf numFmtId="0" fontId="0" fillId="2" borderId="8" xfId="1" applyFont="1" applyFill="1" applyBorder="1" applyAlignment="1">
      <alignment horizontal="left"/>
    </xf>
    <xf numFmtId="11" fontId="0" fillId="2" borderId="3" xfId="1" applyNumberFormat="1" applyFont="1" applyFill="1" applyBorder="1"/>
    <xf numFmtId="0" fontId="0" fillId="0" borderId="2" xfId="1" applyFont="1" applyFill="1" applyBorder="1"/>
    <xf numFmtId="2" fontId="0" fillId="0" borderId="2" xfId="1" applyNumberFormat="1" applyFont="1" applyFill="1" applyBorder="1"/>
    <xf numFmtId="3" fontId="0" fillId="0" borderId="2" xfId="1" applyNumberFormat="1" applyFont="1" applyFill="1" applyBorder="1"/>
    <xf numFmtId="164" fontId="0" fillId="0" borderId="2" xfId="1" applyNumberFormat="1" applyFont="1" applyFill="1" applyBorder="1"/>
    <xf numFmtId="11" fontId="0" fillId="2" borderId="2" xfId="1" applyNumberFormat="1" applyFont="1" applyFill="1" applyBorder="1"/>
    <xf numFmtId="0" fontId="0" fillId="0" borderId="28" xfId="1" applyFont="1" applyBorder="1"/>
    <xf numFmtId="0" fontId="0" fillId="0" borderId="26" xfId="1" applyFont="1" applyBorder="1"/>
    <xf numFmtId="0" fontId="0" fillId="0" borderId="58" xfId="1" applyFont="1" applyFill="1" applyBorder="1" applyAlignment="1">
      <alignment horizontal="left"/>
    </xf>
    <xf numFmtId="11" fontId="0" fillId="0" borderId="58" xfId="1" applyNumberFormat="1" applyFont="1" applyFill="1" applyBorder="1"/>
    <xf numFmtId="0" fontId="0" fillId="0" borderId="0" xfId="1" applyFont="1" applyFill="1" applyBorder="1" applyAlignment="1">
      <alignment horizontal="left"/>
    </xf>
    <xf numFmtId="11" fontId="0" fillId="0" borderId="0" xfId="1" applyNumberFormat="1" applyFont="1" applyFill="1" applyBorder="1"/>
    <xf numFmtId="0" fontId="0" fillId="0" borderId="16" xfId="1" applyFont="1" applyFill="1" applyBorder="1" applyAlignment="1">
      <alignment horizontal="left"/>
    </xf>
    <xf numFmtId="11" fontId="0" fillId="0" borderId="16" xfId="1" applyNumberFormat="1" applyFont="1" applyFill="1" applyBorder="1"/>
    <xf numFmtId="0" fontId="0" fillId="2" borderId="57" xfId="1" applyFont="1" applyFill="1" applyBorder="1" applyAlignment="1">
      <alignment horizontal="left"/>
    </xf>
    <xf numFmtId="11" fontId="0" fillId="2" borderId="23" xfId="1" applyNumberFormat="1" applyFont="1" applyFill="1" applyBorder="1"/>
    <xf numFmtId="0" fontId="0" fillId="2" borderId="6" xfId="1" applyFont="1" applyFill="1" applyBorder="1" applyAlignment="1">
      <alignment horizontal="left"/>
    </xf>
    <xf numFmtId="0" fontId="2" fillId="5" borderId="0" xfId="1" applyFill="1"/>
    <xf numFmtId="0" fontId="2" fillId="5" borderId="31" xfId="1" applyFill="1" applyBorder="1"/>
    <xf numFmtId="0" fontId="2" fillId="5" borderId="32" xfId="1" applyFill="1" applyBorder="1"/>
    <xf numFmtId="0" fontId="2" fillId="5" borderId="0" xfId="1" applyFill="1" applyBorder="1"/>
    <xf numFmtId="0" fontId="2" fillId="5" borderId="0" xfId="1" applyNumberFormat="1" applyFill="1" applyBorder="1"/>
    <xf numFmtId="0" fontId="2" fillId="5" borderId="33" xfId="1" applyFill="1" applyBorder="1"/>
    <xf numFmtId="11" fontId="2" fillId="5" borderId="42" xfId="1" applyNumberFormat="1" applyFill="1" applyBorder="1"/>
    <xf numFmtId="0" fontId="2" fillId="5" borderId="42" xfId="1" applyFill="1" applyBorder="1"/>
    <xf numFmtId="168" fontId="2" fillId="5" borderId="32" xfId="1" applyNumberFormat="1" applyFill="1" applyBorder="1"/>
    <xf numFmtId="168" fontId="2" fillId="5" borderId="0" xfId="1" applyNumberFormat="1" applyFill="1"/>
    <xf numFmtId="0" fontId="0" fillId="5" borderId="0" xfId="1" applyFont="1" applyFill="1"/>
    <xf numFmtId="0" fontId="0" fillId="5" borderId="32" xfId="1" applyFont="1" applyFill="1" applyBorder="1"/>
    <xf numFmtId="9" fontId="2" fillId="5" borderId="32" xfId="1" applyNumberFormat="1" applyFill="1" applyBorder="1"/>
    <xf numFmtId="9" fontId="2" fillId="5" borderId="31" xfId="1" applyNumberFormat="1" applyFill="1" applyBorder="1"/>
    <xf numFmtId="166" fontId="2" fillId="5" borderId="32" xfId="1" applyNumberFormat="1" applyFill="1" applyBorder="1"/>
    <xf numFmtId="10" fontId="2" fillId="5" borderId="0" xfId="1" applyNumberFormat="1" applyFill="1"/>
    <xf numFmtId="172" fontId="2" fillId="5" borderId="43" xfId="1" applyNumberFormat="1" applyFill="1" applyBorder="1"/>
    <xf numFmtId="173" fontId="2" fillId="5" borderId="43" xfId="1" applyNumberFormat="1" applyFill="1" applyBorder="1"/>
    <xf numFmtId="171" fontId="2" fillId="5" borderId="43" xfId="1" applyNumberFormat="1" applyFill="1" applyBorder="1"/>
    <xf numFmtId="10" fontId="2" fillId="5" borderId="43" xfId="1" applyNumberFormat="1" applyFill="1" applyBorder="1"/>
    <xf numFmtId="10" fontId="2" fillId="5" borderId="48" xfId="1" applyNumberFormat="1" applyFill="1" applyBorder="1"/>
    <xf numFmtId="10" fontId="2" fillId="5" borderId="47" xfId="1" applyNumberFormat="1" applyFill="1" applyBorder="1"/>
    <xf numFmtId="166" fontId="2" fillId="5" borderId="43" xfId="1" applyNumberFormat="1" applyFill="1" applyBorder="1"/>
    <xf numFmtId="0" fontId="2" fillId="5" borderId="34" xfId="1" applyFill="1" applyBorder="1"/>
    <xf numFmtId="0" fontId="2" fillId="5" borderId="25" xfId="1" applyFill="1" applyBorder="1"/>
    <xf numFmtId="168" fontId="2" fillId="5" borderId="25" xfId="1" applyNumberFormat="1" applyFill="1" applyBorder="1"/>
    <xf numFmtId="168" fontId="2" fillId="5" borderId="33" xfId="1" applyNumberFormat="1" applyFill="1" applyBorder="1"/>
    <xf numFmtId="168" fontId="2" fillId="5" borderId="0" xfId="1" applyNumberFormat="1" applyFill="1" applyBorder="1"/>
    <xf numFmtId="11" fontId="2" fillId="5" borderId="25" xfId="1" applyNumberFormat="1" applyFill="1" applyBorder="1"/>
    <xf numFmtId="165" fontId="2" fillId="5" borderId="33" xfId="1" applyNumberFormat="1" applyFill="1" applyBorder="1"/>
    <xf numFmtId="165" fontId="2" fillId="5" borderId="0" xfId="1" applyNumberFormat="1" applyFill="1" applyBorder="1"/>
    <xf numFmtId="165" fontId="2" fillId="5" borderId="34" xfId="1" applyNumberFormat="1" applyFill="1" applyBorder="1"/>
    <xf numFmtId="0" fontId="2" fillId="5" borderId="37" xfId="1" applyFill="1" applyBorder="1"/>
    <xf numFmtId="0" fontId="2" fillId="5" borderId="38" xfId="1" applyFill="1" applyBorder="1"/>
    <xf numFmtId="169" fontId="2" fillId="5" borderId="37" xfId="1" applyNumberFormat="1" applyFill="1" applyBorder="1"/>
    <xf numFmtId="169" fontId="2" fillId="5" borderId="31" xfId="1" applyNumberFormat="1" applyFill="1" applyBorder="1"/>
    <xf numFmtId="169" fontId="2" fillId="5" borderId="44" xfId="1" applyNumberFormat="1" applyFill="1" applyBorder="1"/>
    <xf numFmtId="168" fontId="2" fillId="5" borderId="39" xfId="1" applyNumberFormat="1" applyFill="1" applyBorder="1"/>
    <xf numFmtId="168" fontId="2" fillId="5" borderId="40" xfId="1" applyNumberFormat="1" applyFill="1" applyBorder="1"/>
    <xf numFmtId="0" fontId="2" fillId="5" borderId="45" xfId="1" applyFill="1" applyBorder="1"/>
    <xf numFmtId="168" fontId="2" fillId="5" borderId="34" xfId="1" applyNumberFormat="1" applyFill="1" applyBorder="1"/>
    <xf numFmtId="168" fontId="0" fillId="5" borderId="34" xfId="1" applyNumberFormat="1" applyFont="1" applyFill="1" applyBorder="1"/>
    <xf numFmtId="0" fontId="2" fillId="5" borderId="25" xfId="1" applyNumberFormat="1" applyFill="1" applyBorder="1"/>
    <xf numFmtId="168" fontId="2" fillId="5" borderId="37" xfId="1" applyNumberFormat="1" applyFill="1" applyBorder="1"/>
    <xf numFmtId="168" fontId="2" fillId="5" borderId="31" xfId="1" applyNumberFormat="1" applyFill="1" applyBorder="1"/>
    <xf numFmtId="168" fontId="2" fillId="5" borderId="44" xfId="1" applyNumberFormat="1" applyFill="1" applyBorder="1"/>
    <xf numFmtId="168" fontId="2" fillId="5" borderId="45" xfId="1" applyNumberFormat="1" applyFill="1" applyBorder="1"/>
    <xf numFmtId="168" fontId="2" fillId="5" borderId="38" xfId="1" applyNumberFormat="1" applyFill="1" applyBorder="1"/>
    <xf numFmtId="3" fontId="0" fillId="3" borderId="1" xfId="1" applyNumberFormat="1" applyFont="1" applyFill="1" applyBorder="1" applyProtection="1">
      <protection locked="0"/>
    </xf>
    <xf numFmtId="3" fontId="0" fillId="3" borderId="1" xfId="1" applyNumberFormat="1" applyFont="1" applyFill="1" applyBorder="1" applyAlignment="1" applyProtection="1">
      <alignment horizontal="center"/>
      <protection locked="0"/>
    </xf>
    <xf numFmtId="2" fontId="0" fillId="3" borderId="2" xfId="1" applyNumberFormat="1" applyFont="1" applyFill="1" applyBorder="1" applyProtection="1">
      <protection locked="0"/>
    </xf>
    <xf numFmtId="0" fontId="0" fillId="0" borderId="1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0" fillId="0" borderId="17" xfId="1" applyFont="1" applyFill="1" applyBorder="1" applyAlignment="1">
      <alignment horizontal="center" vertical="center" wrapText="1"/>
    </xf>
    <xf numFmtId="0" fontId="0" fillId="0" borderId="25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0" fillId="0" borderId="9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3" fontId="0" fillId="3" borderId="28" xfId="1" applyNumberFormat="1" applyFont="1" applyFill="1" applyBorder="1" applyAlignment="1" applyProtection="1">
      <alignment horizontal="center"/>
      <protection locked="0"/>
    </xf>
    <xf numFmtId="3" fontId="0" fillId="3" borderId="30" xfId="1" applyNumberFormat="1" applyFont="1" applyFill="1" applyBorder="1" applyAlignment="1" applyProtection="1">
      <alignment horizontal="center"/>
      <protection locked="0"/>
    </xf>
    <xf numFmtId="3" fontId="0" fillId="3" borderId="29" xfId="1" applyNumberFormat="1" applyFont="1" applyFill="1" applyBorder="1" applyAlignment="1" applyProtection="1">
      <alignment horizontal="center"/>
      <protection locked="0"/>
    </xf>
    <xf numFmtId="0" fontId="0" fillId="0" borderId="11" xfId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/>
    </xf>
    <xf numFmtId="0" fontId="3" fillId="0" borderId="25" xfId="1" applyFont="1" applyBorder="1" applyAlignment="1">
      <alignment horizontal="center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9.85546875" style="1" bestFit="1" customWidth="1"/>
    <col min="2" max="2" width="9.28515625" style="1" bestFit="1" customWidth="1"/>
    <col min="3" max="3" width="11.140625" style="1" bestFit="1" customWidth="1"/>
    <col min="4" max="4" width="10.42578125" style="1" bestFit="1" customWidth="1"/>
    <col min="5" max="5" width="21.140625" style="1" bestFit="1" customWidth="1"/>
    <col min="6" max="6" width="9.28515625" style="1" bestFit="1" customWidth="1"/>
    <col min="7" max="7" width="20.140625" style="1" hidden="1" customWidth="1"/>
    <col min="8" max="8" width="8.5703125" style="1" hidden="1" customWidth="1"/>
    <col min="9" max="9" width="9.28515625" style="1" hidden="1" customWidth="1"/>
    <col min="10" max="11" width="0" style="1" hidden="1" customWidth="1"/>
    <col min="12" max="12" width="11.140625" style="1" hidden="1" customWidth="1"/>
    <col min="13" max="13" width="0" style="1" hidden="1" customWidth="1"/>
    <col min="14" max="14" width="11.140625" style="1" hidden="1" customWidth="1"/>
    <col min="15" max="15" width="0" style="1" hidden="1" customWidth="1"/>
    <col min="16" max="16" width="18.7109375" style="1" hidden="1" customWidth="1"/>
    <col min="17" max="17" width="10.85546875" style="1" hidden="1" customWidth="1"/>
    <col min="18" max="19" width="0" style="1" hidden="1" customWidth="1"/>
    <col min="20" max="20" width="9.42578125" style="1" hidden="1" customWidth="1"/>
    <col min="21" max="25" width="0" style="1" hidden="1" customWidth="1"/>
    <col min="26" max="26" width="18.7109375" style="1" bestFit="1" customWidth="1"/>
    <col min="27" max="16384" width="8.85546875" style="1"/>
  </cols>
  <sheetData>
    <row r="1" spans="1:23" ht="21" thickBot="1" x14ac:dyDescent="0.35">
      <c r="A1" s="211" t="s">
        <v>63</v>
      </c>
      <c r="B1" s="211"/>
      <c r="C1" s="211"/>
      <c r="D1" s="211"/>
      <c r="E1" s="211"/>
      <c r="H1" s="21">
        <v>-0.5</v>
      </c>
      <c r="I1" s="1" t="s">
        <v>120</v>
      </c>
      <c r="L1" s="1" t="s">
        <v>123</v>
      </c>
      <c r="P1" s="28" t="s">
        <v>70</v>
      </c>
      <c r="Q1" s="28" t="s">
        <v>55</v>
      </c>
      <c r="R1" s="28" t="s">
        <v>115</v>
      </c>
      <c r="S1" s="28" t="s">
        <v>80</v>
      </c>
      <c r="T1" s="28" t="s">
        <v>81</v>
      </c>
      <c r="U1" s="28" t="s">
        <v>87</v>
      </c>
    </row>
    <row r="2" spans="1:23" x14ac:dyDescent="0.2">
      <c r="A2" s="8" t="s">
        <v>38</v>
      </c>
      <c r="B2" s="9"/>
      <c r="C2" s="9"/>
      <c r="D2" s="10"/>
      <c r="E2" s="20"/>
      <c r="H2" s="21">
        <v>325</v>
      </c>
      <c r="I2" s="1" t="s">
        <v>121</v>
      </c>
      <c r="L2" s="21">
        <v>1020</v>
      </c>
      <c r="M2" s="1" t="s">
        <v>82</v>
      </c>
      <c r="P2" s="3" t="s">
        <v>91</v>
      </c>
      <c r="Q2" s="23" t="s">
        <v>101</v>
      </c>
      <c r="R2" s="37">
        <f>SUM(I9:I11)</f>
        <v>2.69E-2</v>
      </c>
      <c r="S2" s="38">
        <f>SUM(J9:J11)</f>
        <v>10.76</v>
      </c>
      <c r="T2" s="38">
        <f>SUM(K9:K11)</f>
        <v>8.07</v>
      </c>
      <c r="U2" s="3" t="str">
        <f>IF($D21=$T$2,"Match","")</f>
        <v/>
      </c>
    </row>
    <row r="3" spans="1:23" ht="15" customHeight="1" x14ac:dyDescent="0.2">
      <c r="A3" s="122" t="s">
        <v>54</v>
      </c>
      <c r="B3" s="207">
        <v>400</v>
      </c>
      <c r="C3" s="148" t="s">
        <v>68</v>
      </c>
      <c r="D3" s="52"/>
      <c r="E3" s="20"/>
      <c r="L3" s="1" t="s">
        <v>88</v>
      </c>
      <c r="P3" s="34" t="s">
        <v>110</v>
      </c>
      <c r="Q3" s="29" t="s">
        <v>101</v>
      </c>
      <c r="R3" s="64">
        <f>SUM(I9:I10,I12)</f>
        <v>2.5399999999999999E-2</v>
      </c>
      <c r="S3" s="55">
        <f>SUM(J9:J10,J12)</f>
        <v>10.16</v>
      </c>
      <c r="T3" s="55">
        <f>SUM(K9:K10,K12)</f>
        <v>7.62</v>
      </c>
      <c r="U3" s="34" t="str">
        <f>IF($D26=$T$3,"Match","")</f>
        <v/>
      </c>
    </row>
    <row r="4" spans="1:23" ht="15" customHeight="1" x14ac:dyDescent="0.2">
      <c r="A4" s="122" t="s">
        <v>53</v>
      </c>
      <c r="B4" s="207">
        <v>600000</v>
      </c>
      <c r="C4" s="148" t="s">
        <v>67</v>
      </c>
      <c r="D4" s="52"/>
      <c r="E4" s="20"/>
      <c r="L4" s="21">
        <v>140</v>
      </c>
      <c r="M4" s="1" t="s">
        <v>89</v>
      </c>
      <c r="P4" s="35" t="s">
        <v>91</v>
      </c>
      <c r="Q4" s="31" t="s">
        <v>102</v>
      </c>
      <c r="R4" s="32">
        <f>SUM(I13:I15)</f>
        <v>2.3599999999999999E-2</v>
      </c>
      <c r="S4" s="33">
        <f>SUM(J13:J15)</f>
        <v>9.44</v>
      </c>
      <c r="T4" s="33">
        <f>SUM(K13:K15)</f>
        <v>7.08</v>
      </c>
      <c r="U4" s="35" t="str">
        <f>IF($D21=$T$4,"Match","")</f>
        <v>Match</v>
      </c>
    </row>
    <row r="5" spans="1:23" ht="15" customHeight="1" x14ac:dyDescent="0.2">
      <c r="A5" s="122" t="s">
        <v>64</v>
      </c>
      <c r="B5" s="208" t="s">
        <v>137</v>
      </c>
      <c r="C5" s="148"/>
      <c r="D5" s="52"/>
      <c r="E5" s="20"/>
      <c r="P5" s="3" t="s">
        <v>110</v>
      </c>
      <c r="Q5" s="23" t="s">
        <v>102</v>
      </c>
      <c r="R5" s="58">
        <f>SUM(I13:I14,I16)</f>
        <v>2.23E-2</v>
      </c>
      <c r="S5" s="48">
        <f>SUM(J13:J14,J16)</f>
        <v>8.92</v>
      </c>
      <c r="T5" s="48">
        <f>SUM(K13:K14,K16)</f>
        <v>6.69</v>
      </c>
      <c r="U5" s="3" t="str">
        <f>IF($D26=$T$5,"Match","")</f>
        <v>Match</v>
      </c>
    </row>
    <row r="6" spans="1:23" ht="15" customHeight="1" x14ac:dyDescent="0.2">
      <c r="A6" s="122" t="s">
        <v>65</v>
      </c>
      <c r="B6" s="225" t="s">
        <v>174</v>
      </c>
      <c r="C6" s="226"/>
      <c r="D6" s="227"/>
      <c r="E6" s="20"/>
      <c r="H6" s="20" t="s">
        <v>105</v>
      </c>
    </row>
    <row r="7" spans="1:23" ht="15" customHeight="1" thickBot="1" x14ac:dyDescent="0.25">
      <c r="A7" s="123" t="s">
        <v>74</v>
      </c>
      <c r="B7" s="209">
        <v>5</v>
      </c>
      <c r="C7" s="149" t="s">
        <v>47</v>
      </c>
      <c r="D7" s="53"/>
      <c r="E7" s="20"/>
      <c r="G7" s="27" t="s">
        <v>122</v>
      </c>
      <c r="H7" s="20" t="s">
        <v>106</v>
      </c>
      <c r="R7" s="27" t="s">
        <v>131</v>
      </c>
    </row>
    <row r="8" spans="1:23" ht="13.5" thickBot="1" x14ac:dyDescent="0.25">
      <c r="A8" s="50"/>
      <c r="B8" s="50"/>
      <c r="C8" s="50"/>
      <c r="D8" s="44"/>
      <c r="E8" s="44"/>
      <c r="G8" s="28" t="s">
        <v>107</v>
      </c>
      <c r="H8" s="28" t="s">
        <v>55</v>
      </c>
      <c r="I8" s="28" t="s">
        <v>96</v>
      </c>
      <c r="J8" s="28" t="s">
        <v>80</v>
      </c>
      <c r="K8" s="28" t="s">
        <v>81</v>
      </c>
      <c r="L8" s="28" t="s">
        <v>39</v>
      </c>
      <c r="P8" s="28" t="s">
        <v>132</v>
      </c>
      <c r="Q8" s="28" t="s">
        <v>56</v>
      </c>
      <c r="R8" s="28" t="s">
        <v>115</v>
      </c>
      <c r="S8" s="28" t="s">
        <v>80</v>
      </c>
      <c r="T8" s="28" t="s">
        <v>81</v>
      </c>
      <c r="U8" s="28" t="s">
        <v>87</v>
      </c>
    </row>
    <row r="9" spans="1:23" ht="42" customHeight="1" thickBot="1" x14ac:dyDescent="0.25">
      <c r="A9" s="11" t="s">
        <v>37</v>
      </c>
      <c r="B9" s="12" t="s">
        <v>58</v>
      </c>
      <c r="C9" s="12" t="s">
        <v>42</v>
      </c>
      <c r="D9" s="12" t="s">
        <v>43</v>
      </c>
      <c r="E9" s="13" t="s">
        <v>39</v>
      </c>
      <c r="G9" s="23" t="s">
        <v>99</v>
      </c>
      <c r="H9" s="23" t="s">
        <v>101</v>
      </c>
      <c r="I9" s="169">
        <v>1.2999999999999999E-2</v>
      </c>
      <c r="J9" s="24">
        <f t="shared" ref="J9:J16" si="0">I9*$B$3</f>
        <v>5.2</v>
      </c>
      <c r="K9" s="24">
        <f t="shared" ref="K9:K16" si="1">I9*$B$4/2000</f>
        <v>3.9</v>
      </c>
      <c r="L9" s="20" t="s">
        <v>103</v>
      </c>
      <c r="P9" s="49" t="s">
        <v>130</v>
      </c>
      <c r="Q9" s="20" t="s">
        <v>92</v>
      </c>
      <c r="R9" s="42">
        <f>0.000181+0.00141*(-$H$1)*EXP(0.0251*($H$2+460)-20.43)</f>
        <v>5.2193703181979169E-4</v>
      </c>
      <c r="S9" s="38">
        <f>R9*$B$3</f>
        <v>0.20877481272791668</v>
      </c>
      <c r="T9" s="38">
        <f>R9*$B$4/2000</f>
        <v>0.15658110954593749</v>
      </c>
      <c r="U9" s="3" t="str">
        <f>IF($D22=T9,"Match","")</f>
        <v>Match</v>
      </c>
    </row>
    <row r="10" spans="1:23" ht="15.75" customHeight="1" x14ac:dyDescent="0.3">
      <c r="A10" s="4" t="s">
        <v>0</v>
      </c>
      <c r="B10" s="132">
        <f>IF($B$5="Drum Mix",IF($B$6="Natural Gas Only",$J$35,IF($B$6="Nat Gas &amp; Fuel Oil",$J$36,$J$37)),IF($B$6="Natural Gas Only",$J$32,IF($B$6="Nat Gas &amp; Fuel Oil",$J$33,$J$34)))</f>
        <v>5.5E-2</v>
      </c>
      <c r="C10" s="124">
        <f>$B10*$B$3</f>
        <v>22</v>
      </c>
      <c r="D10" s="124">
        <f>$B10*$B$4/2000</f>
        <v>16.5</v>
      </c>
      <c r="E10" s="18" t="s">
        <v>66</v>
      </c>
      <c r="G10" s="23" t="s">
        <v>100</v>
      </c>
      <c r="H10" s="23" t="s">
        <v>101</v>
      </c>
      <c r="I10" s="169">
        <v>4.1000000000000003E-3</v>
      </c>
      <c r="J10" s="24">
        <f t="shared" si="0"/>
        <v>1.6400000000000001</v>
      </c>
      <c r="K10" s="24">
        <f t="shared" si="1"/>
        <v>1.23</v>
      </c>
      <c r="L10" s="20" t="s">
        <v>103</v>
      </c>
      <c r="P10" s="49" t="s">
        <v>71</v>
      </c>
      <c r="Q10" s="49" t="s">
        <v>92</v>
      </c>
      <c r="R10" s="47">
        <f>0.000332+0.00105*(-$H$1)*EXP(0.0251*($H$2+460)-20.43)</f>
        <v>5.8588927901473853E-4</v>
      </c>
      <c r="S10" s="48">
        <f>R10*$B$3</f>
        <v>0.23435571160589541</v>
      </c>
      <c r="T10" s="48">
        <f>R10*$B$4/2000</f>
        <v>0.17576678370442156</v>
      </c>
      <c r="U10" s="3" t="str">
        <f>IF($D23=T10,"Match","")</f>
        <v>Match</v>
      </c>
    </row>
    <row r="11" spans="1:23" x14ac:dyDescent="0.2">
      <c r="A11" s="5" t="s">
        <v>1</v>
      </c>
      <c r="B11" s="125"/>
      <c r="C11" s="126">
        <f>SUM(C31:C34)</f>
        <v>53.054545469902543</v>
      </c>
      <c r="D11" s="126">
        <f>SUM(D31:D34)</f>
        <v>39.946480530998336</v>
      </c>
      <c r="E11" s="228" t="s">
        <v>46</v>
      </c>
      <c r="G11" s="23" t="s">
        <v>90</v>
      </c>
      <c r="H11" s="23" t="s">
        <v>101</v>
      </c>
      <c r="I11" s="169">
        <v>9.7999999999999997E-3</v>
      </c>
      <c r="J11" s="24">
        <f t="shared" si="0"/>
        <v>3.92</v>
      </c>
      <c r="K11" s="24">
        <f t="shared" si="1"/>
        <v>2.94</v>
      </c>
      <c r="L11" s="20" t="s">
        <v>109</v>
      </c>
    </row>
    <row r="12" spans="1:23" ht="15.75" customHeight="1" x14ac:dyDescent="0.3">
      <c r="A12" s="6" t="s">
        <v>2</v>
      </c>
      <c r="B12" s="127"/>
      <c r="C12" s="128">
        <f>SUM(C21:C23)</f>
        <v>9.8831305243338115</v>
      </c>
      <c r="D12" s="128">
        <f>SUM(D21:D23)</f>
        <v>7.4123478932503595</v>
      </c>
      <c r="E12" s="228"/>
      <c r="G12" s="54" t="s">
        <v>108</v>
      </c>
      <c r="H12" s="54" t="s">
        <v>101</v>
      </c>
      <c r="I12" s="160">
        <v>8.3000000000000001E-3</v>
      </c>
      <c r="J12" s="30">
        <f t="shared" si="0"/>
        <v>3.32</v>
      </c>
      <c r="K12" s="30">
        <f t="shared" si="1"/>
        <v>2.4900000000000002</v>
      </c>
      <c r="L12" s="54" t="s">
        <v>109</v>
      </c>
      <c r="R12" s="27" t="s">
        <v>129</v>
      </c>
    </row>
    <row r="13" spans="1:23" ht="16.5" thickBot="1" x14ac:dyDescent="0.35">
      <c r="A13" s="5" t="s">
        <v>3</v>
      </c>
      <c r="B13" s="129"/>
      <c r="C13" s="126">
        <f>SUM(C26:C28)</f>
        <v>9.3631305243338119</v>
      </c>
      <c r="D13" s="126">
        <f>SUM(D26:D28)</f>
        <v>7.0223478932503598</v>
      </c>
      <c r="E13" s="228"/>
      <c r="G13" s="35" t="s">
        <v>99</v>
      </c>
      <c r="H13" s="56" t="s">
        <v>102</v>
      </c>
      <c r="I13" s="170">
        <v>7.4000000000000003E-3</v>
      </c>
      <c r="J13" s="33">
        <f t="shared" si="0"/>
        <v>2.96</v>
      </c>
      <c r="K13" s="33">
        <f t="shared" si="1"/>
        <v>2.2200000000000002</v>
      </c>
      <c r="L13" s="56" t="s">
        <v>104</v>
      </c>
      <c r="P13" s="28" t="s">
        <v>124</v>
      </c>
      <c r="Q13" s="28" t="s">
        <v>59</v>
      </c>
      <c r="R13" s="28" t="s">
        <v>115</v>
      </c>
      <c r="S13" s="28" t="s">
        <v>125</v>
      </c>
      <c r="T13" s="28" t="s">
        <v>79</v>
      </c>
      <c r="U13" s="28" t="s">
        <v>80</v>
      </c>
      <c r="V13" s="28" t="s">
        <v>81</v>
      </c>
      <c r="W13" s="28" t="s">
        <v>87</v>
      </c>
    </row>
    <row r="14" spans="1:23" ht="15.75" x14ac:dyDescent="0.3">
      <c r="A14" s="6" t="s">
        <v>4</v>
      </c>
      <c r="B14" s="127">
        <f>IF($B$5="Drum Mix",IF($B$6="Natural Gas Only",$J$41,IF($B$6="Nat Gas &amp; Fuel Oil",$J$42,$J$43)),IF($B$6="Natural Gas Only",$J$38,IF($B$6="Nat Gas &amp; Fuel Oil",$J$39,$J$40)))</f>
        <v>5.8000000000000003E-2</v>
      </c>
      <c r="C14" s="128">
        <f>$B14*$B$3</f>
        <v>23.200000000000003</v>
      </c>
      <c r="D14" s="128">
        <f>$B14*$B$4/2000</f>
        <v>17.399999999999999</v>
      </c>
      <c r="E14" s="19" t="s">
        <v>66</v>
      </c>
      <c r="G14" s="3" t="s">
        <v>100</v>
      </c>
      <c r="H14" s="49" t="s">
        <v>102</v>
      </c>
      <c r="I14" s="162">
        <v>1.2E-2</v>
      </c>
      <c r="J14" s="24">
        <f t="shared" si="0"/>
        <v>4.8</v>
      </c>
      <c r="K14" s="24">
        <f t="shared" si="1"/>
        <v>3.6</v>
      </c>
      <c r="L14" s="20" t="s">
        <v>104</v>
      </c>
      <c r="P14" s="65" t="s">
        <v>1</v>
      </c>
      <c r="Q14" s="65" t="s">
        <v>112</v>
      </c>
      <c r="R14" s="165">
        <v>8.8999999999999995E-6</v>
      </c>
      <c r="S14" s="65" t="s">
        <v>126</v>
      </c>
      <c r="T14" s="66">
        <f>R14*1000000/$L$2</f>
        <v>8.7254901960784319E-3</v>
      </c>
      <c r="U14" s="68">
        <f>T14*$B$7</f>
        <v>4.3627450980392161E-2</v>
      </c>
      <c r="V14" s="68">
        <f>U14*8760/2000</f>
        <v>0.19108823529411767</v>
      </c>
      <c r="W14" s="67" t="str">
        <f>IF($D34=V14,"Match","")</f>
        <v/>
      </c>
    </row>
    <row r="15" spans="1:23" x14ac:dyDescent="0.2">
      <c r="A15" s="5" t="s">
        <v>5</v>
      </c>
      <c r="B15" s="129"/>
      <c r="C15" s="126">
        <f>SUM(C37:C40)</f>
        <v>19.239385756005948</v>
      </c>
      <c r="D15" s="126">
        <f>SUM(D37:D40)</f>
        <v>14.432977216108032</v>
      </c>
      <c r="E15" s="121" t="s">
        <v>46</v>
      </c>
      <c r="G15" s="36" t="s">
        <v>90</v>
      </c>
      <c r="H15" s="36" t="s">
        <v>102</v>
      </c>
      <c r="I15" s="162">
        <v>4.1999999999999997E-3</v>
      </c>
      <c r="J15" s="24">
        <f t="shared" si="0"/>
        <v>1.68</v>
      </c>
      <c r="K15" s="24">
        <f t="shared" si="1"/>
        <v>1.26</v>
      </c>
      <c r="L15" s="20" t="s">
        <v>111</v>
      </c>
      <c r="P15" s="56" t="s">
        <v>1</v>
      </c>
      <c r="Q15" s="56" t="s">
        <v>113</v>
      </c>
      <c r="R15" s="161">
        <v>1.1999999999999999E-3</v>
      </c>
      <c r="S15" s="56" t="s">
        <v>127</v>
      </c>
      <c r="T15" s="60">
        <f>R15*1000/$L$4</f>
        <v>8.5714285714285719E-3</v>
      </c>
      <c r="U15" s="61">
        <f>T15*$B$7</f>
        <v>4.2857142857142858E-2</v>
      </c>
      <c r="V15" s="61">
        <f>U15*8760/2000</f>
        <v>0.18771428571428572</v>
      </c>
      <c r="W15" s="35" t="str">
        <f>IF($D34=V15,"Match","")</f>
        <v>Match</v>
      </c>
    </row>
    <row r="16" spans="1:23" x14ac:dyDescent="0.2">
      <c r="A16" s="6" t="s">
        <v>6</v>
      </c>
      <c r="B16" s="139">
        <f>IF($B$5="Drum Mix",IF($B$6="Natural Gas Only",$K$117,IF($B$6="Nat Gas &amp; Fuel Oil",$L$117,$M$117)),IF($B$6="Natural Gas Only",$H$117,IF($B$6="Nat Gas &amp; Fuel Oil",$I$117,$J$117)))</f>
        <v>1.5E-5</v>
      </c>
      <c r="C16" s="128">
        <f>$B16*$B$3</f>
        <v>6.0000000000000001E-3</v>
      </c>
      <c r="D16" s="128">
        <f>$B16*$B$4/2000</f>
        <v>4.4999999999999997E-3</v>
      </c>
      <c r="E16" s="121" t="s">
        <v>48</v>
      </c>
      <c r="G16" s="23" t="s">
        <v>108</v>
      </c>
      <c r="H16" s="23" t="s">
        <v>102</v>
      </c>
      <c r="I16" s="162">
        <v>2.8999999999999998E-3</v>
      </c>
      <c r="J16" s="24">
        <f t="shared" si="0"/>
        <v>1.1599999999999999</v>
      </c>
      <c r="K16" s="24">
        <f t="shared" si="1"/>
        <v>0.86999999999999988</v>
      </c>
      <c r="L16" s="20" t="s">
        <v>111</v>
      </c>
    </row>
    <row r="17" spans="1:23" x14ac:dyDescent="0.2">
      <c r="A17" s="5" t="s">
        <v>44</v>
      </c>
      <c r="B17" s="129"/>
      <c r="C17" s="126">
        <f>SUM(C58:C121)</f>
        <v>4.3762951810741546</v>
      </c>
      <c r="D17" s="126">
        <f>SUM(D58:D121)</f>
        <v>3.2856592850388306</v>
      </c>
      <c r="E17" s="228" t="s">
        <v>46</v>
      </c>
      <c r="I17" s="3"/>
      <c r="J17" s="3"/>
      <c r="K17" s="3"/>
      <c r="L17" s="3"/>
      <c r="R17" s="27" t="s">
        <v>131</v>
      </c>
    </row>
    <row r="18" spans="1:23" ht="16.5" thickBot="1" x14ac:dyDescent="0.35">
      <c r="A18" s="17" t="s">
        <v>176</v>
      </c>
      <c r="B18" s="143"/>
      <c r="C18" s="144"/>
      <c r="D18" s="145">
        <f>D55</f>
        <v>14372.265127607576</v>
      </c>
      <c r="E18" s="229"/>
      <c r="G18" s="27" t="s">
        <v>122</v>
      </c>
      <c r="J18" s="27" t="s">
        <v>115</v>
      </c>
      <c r="P18" s="28" t="s">
        <v>132</v>
      </c>
      <c r="Q18" s="28" t="s">
        <v>56</v>
      </c>
      <c r="R18" s="28" t="s">
        <v>115</v>
      </c>
      <c r="S18" s="28" t="s">
        <v>80</v>
      </c>
      <c r="T18" s="28" t="s">
        <v>81</v>
      </c>
      <c r="U18" s="28" t="s">
        <v>87</v>
      </c>
      <c r="V18" s="28" t="s">
        <v>39</v>
      </c>
    </row>
    <row r="19" spans="1:23" ht="13.5" thickBot="1" x14ac:dyDescent="0.25">
      <c r="A19" s="2"/>
      <c r="B19" s="36"/>
      <c r="C19" s="131"/>
      <c r="D19" s="131"/>
      <c r="E19" s="49"/>
      <c r="G19" s="28" t="s">
        <v>56</v>
      </c>
      <c r="H19" s="28" t="s">
        <v>55</v>
      </c>
      <c r="I19" s="28" t="s">
        <v>59</v>
      </c>
      <c r="J19" s="28" t="s">
        <v>96</v>
      </c>
      <c r="K19" s="28" t="s">
        <v>80</v>
      </c>
      <c r="L19" s="28" t="s">
        <v>81</v>
      </c>
      <c r="M19" s="28" t="s">
        <v>87</v>
      </c>
      <c r="N19" s="28" t="s">
        <v>39</v>
      </c>
      <c r="P19" s="20" t="s">
        <v>130</v>
      </c>
      <c r="Q19" s="20" t="s">
        <v>1</v>
      </c>
      <c r="R19" s="26">
        <f>0.00558*(-$H$1)*EXP(0.0251*($H$2+460)-20.43)</f>
        <v>1.3492401684783249E-3</v>
      </c>
      <c r="S19" s="22">
        <f>R19*$B$3</f>
        <v>0.53969606739132991</v>
      </c>
      <c r="T19" s="22">
        <f>R19*$B$4/2000</f>
        <v>0.40477205054349746</v>
      </c>
      <c r="U19" s="1" t="str">
        <f>IF($D32=T19,"Match","")</f>
        <v>Match</v>
      </c>
      <c r="V19" s="20" t="s">
        <v>131</v>
      </c>
    </row>
    <row r="20" spans="1:23" ht="42" customHeight="1" thickBot="1" x14ac:dyDescent="0.3">
      <c r="A20" s="11" t="s">
        <v>135</v>
      </c>
      <c r="B20" s="12" t="s">
        <v>58</v>
      </c>
      <c r="C20" s="12" t="s">
        <v>42</v>
      </c>
      <c r="D20" s="12" t="s">
        <v>43</v>
      </c>
      <c r="E20" s="13" t="s">
        <v>39</v>
      </c>
      <c r="G20" s="20" t="s">
        <v>1</v>
      </c>
      <c r="H20" s="23" t="s">
        <v>101</v>
      </c>
      <c r="I20" s="20" t="s">
        <v>112</v>
      </c>
      <c r="J20" s="159">
        <v>0.4</v>
      </c>
      <c r="K20" s="24">
        <f t="shared" ref="K20:K43" si="2">J20*$B$3</f>
        <v>160</v>
      </c>
      <c r="L20" s="24">
        <f t="shared" ref="L20:L43" si="3">J20*$B$4/2000</f>
        <v>120</v>
      </c>
      <c r="M20" s="3" t="str">
        <f t="shared" ref="M20:M25" si="4">IF($D$31=L20,"Match","")</f>
        <v/>
      </c>
      <c r="N20" s="1" t="s">
        <v>114</v>
      </c>
      <c r="P20" s="20" t="s">
        <v>71</v>
      </c>
      <c r="Q20" s="20" t="s">
        <v>1</v>
      </c>
      <c r="R20" s="26">
        <f>0.00488*(-$H$1)*EXP(0.0251*($H$2+460)-20.43)</f>
        <v>1.1799806491351657E-3</v>
      </c>
      <c r="S20" s="22">
        <f>R20*$B$3</f>
        <v>0.47199225965406627</v>
      </c>
      <c r="T20" s="22">
        <f>R20*$B$4/2000</f>
        <v>0.35399419474054972</v>
      </c>
      <c r="U20" s="1" t="str">
        <f>IF($D33=T20,"Match","")</f>
        <v>Match</v>
      </c>
      <c r="V20" s="20" t="s">
        <v>131</v>
      </c>
    </row>
    <row r="21" spans="1:23" ht="12.75" customHeight="1" x14ac:dyDescent="0.2">
      <c r="A21" s="4" t="s">
        <v>70</v>
      </c>
      <c r="B21" s="132">
        <f>IF($B$5="Drum Mix",$R$4,R2)</f>
        <v>2.3599999999999999E-2</v>
      </c>
      <c r="C21" s="124">
        <f>$B21*$B$3</f>
        <v>9.44</v>
      </c>
      <c r="D21" s="124">
        <f>$B21*$B$4/2000</f>
        <v>7.08</v>
      </c>
      <c r="E21" s="212" t="s">
        <v>138</v>
      </c>
      <c r="G21" s="20" t="s">
        <v>1</v>
      </c>
      <c r="H21" s="23" t="s">
        <v>101</v>
      </c>
      <c r="I21" s="20" t="s">
        <v>113</v>
      </c>
      <c r="J21" s="159">
        <v>0.4</v>
      </c>
      <c r="K21" s="24">
        <f t="shared" si="2"/>
        <v>160</v>
      </c>
      <c r="L21" s="24">
        <f t="shared" si="3"/>
        <v>120</v>
      </c>
      <c r="M21" s="3" t="str">
        <f t="shared" si="4"/>
        <v/>
      </c>
      <c r="N21" s="1" t="s">
        <v>114</v>
      </c>
    </row>
    <row r="22" spans="1:23" x14ac:dyDescent="0.2">
      <c r="A22" s="5" t="s">
        <v>72</v>
      </c>
      <c r="B22" s="138">
        <f>$R9</f>
        <v>5.2193703181979169E-4</v>
      </c>
      <c r="C22" s="126">
        <f>$B22*$B$3</f>
        <v>0.20877481272791668</v>
      </c>
      <c r="D22" s="126">
        <f>$B22*$B$4/2000</f>
        <v>0.15658110954593749</v>
      </c>
      <c r="E22" s="210"/>
      <c r="G22" s="20" t="s">
        <v>1</v>
      </c>
      <c r="H22" s="23" t="s">
        <v>101</v>
      </c>
      <c r="I22" s="20" t="s">
        <v>98</v>
      </c>
      <c r="J22" s="159">
        <v>0.4</v>
      </c>
      <c r="K22" s="24">
        <f t="shared" si="2"/>
        <v>160</v>
      </c>
      <c r="L22" s="24">
        <f t="shared" si="3"/>
        <v>120</v>
      </c>
      <c r="M22" s="3" t="str">
        <f t="shared" si="4"/>
        <v/>
      </c>
      <c r="N22" s="1" t="s">
        <v>114</v>
      </c>
      <c r="R22" s="27" t="s">
        <v>129</v>
      </c>
    </row>
    <row r="23" spans="1:23" ht="13.5" thickBot="1" x14ac:dyDescent="0.25">
      <c r="A23" s="17" t="s">
        <v>71</v>
      </c>
      <c r="B23" s="140">
        <f>$R10</f>
        <v>5.8588927901473853E-4</v>
      </c>
      <c r="C23" s="144">
        <f>$B23*$B$3</f>
        <v>0.23435571160589541</v>
      </c>
      <c r="D23" s="144">
        <f>$B23*$B$4/2000</f>
        <v>0.17576678370442156</v>
      </c>
      <c r="E23" s="222"/>
      <c r="G23" s="20" t="s">
        <v>1</v>
      </c>
      <c r="H23" s="23" t="s">
        <v>102</v>
      </c>
      <c r="I23" s="20" t="s">
        <v>112</v>
      </c>
      <c r="J23" s="159">
        <v>0.13</v>
      </c>
      <c r="K23" s="24">
        <f t="shared" si="2"/>
        <v>52</v>
      </c>
      <c r="L23" s="24">
        <f t="shared" si="3"/>
        <v>39</v>
      </c>
      <c r="M23" s="3" t="str">
        <f t="shared" si="4"/>
        <v>Match</v>
      </c>
      <c r="N23" s="20" t="s">
        <v>117</v>
      </c>
      <c r="P23" s="28" t="s">
        <v>124</v>
      </c>
      <c r="Q23" s="28" t="s">
        <v>59</v>
      </c>
      <c r="R23" s="28" t="s">
        <v>115</v>
      </c>
      <c r="S23" s="28" t="s">
        <v>125</v>
      </c>
      <c r="T23" s="28" t="s">
        <v>79</v>
      </c>
      <c r="U23" s="28" t="s">
        <v>80</v>
      </c>
      <c r="V23" s="28" t="s">
        <v>81</v>
      </c>
      <c r="W23" s="28" t="s">
        <v>87</v>
      </c>
    </row>
    <row r="24" spans="1:23" ht="13.5" thickBot="1" x14ac:dyDescent="0.25">
      <c r="A24" s="36"/>
      <c r="B24" s="36"/>
      <c r="C24" s="36"/>
      <c r="D24" s="36"/>
      <c r="E24" s="49"/>
      <c r="G24" s="20" t="s">
        <v>1</v>
      </c>
      <c r="H24" s="23" t="s">
        <v>102</v>
      </c>
      <c r="I24" s="20" t="s">
        <v>113</v>
      </c>
      <c r="J24" s="159">
        <v>0.13</v>
      </c>
      <c r="K24" s="24">
        <f t="shared" si="2"/>
        <v>52</v>
      </c>
      <c r="L24" s="24">
        <f t="shared" si="3"/>
        <v>39</v>
      </c>
      <c r="M24" s="3" t="str">
        <f t="shared" si="4"/>
        <v>Match</v>
      </c>
      <c r="N24" s="20" t="s">
        <v>117</v>
      </c>
      <c r="P24" s="65" t="s">
        <v>83</v>
      </c>
      <c r="Q24" s="65" t="s">
        <v>112</v>
      </c>
      <c r="R24" s="166">
        <v>0.2</v>
      </c>
      <c r="S24" s="65" t="s">
        <v>126</v>
      </c>
      <c r="T24" s="66">
        <f>R24*1000000/$L$2</f>
        <v>196.07843137254903</v>
      </c>
      <c r="U24" s="69">
        <f>T24*$B$7</f>
        <v>980.3921568627452</v>
      </c>
      <c r="V24" s="69">
        <f>U24*8760/2000</f>
        <v>4294.1176470588243</v>
      </c>
      <c r="W24" s="67" t="str">
        <f>IF($D45=V24,"Match","")</f>
        <v/>
      </c>
    </row>
    <row r="25" spans="1:23" ht="42" customHeight="1" thickBot="1" x14ac:dyDescent="0.3">
      <c r="A25" s="11" t="s">
        <v>136</v>
      </c>
      <c r="B25" s="12" t="s">
        <v>58</v>
      </c>
      <c r="C25" s="12" t="s">
        <v>42</v>
      </c>
      <c r="D25" s="12" t="s">
        <v>43</v>
      </c>
      <c r="E25" s="13" t="s">
        <v>39</v>
      </c>
      <c r="G25" s="54" t="s">
        <v>1</v>
      </c>
      <c r="H25" s="29" t="s">
        <v>102</v>
      </c>
      <c r="I25" s="54" t="s">
        <v>98</v>
      </c>
      <c r="J25" s="160">
        <v>0.13</v>
      </c>
      <c r="K25" s="30">
        <f t="shared" si="2"/>
        <v>52</v>
      </c>
      <c r="L25" s="30">
        <f t="shared" si="3"/>
        <v>39</v>
      </c>
      <c r="M25" s="34" t="str">
        <f t="shared" si="4"/>
        <v>Match</v>
      </c>
      <c r="N25" s="54" t="s">
        <v>117</v>
      </c>
      <c r="P25" s="56" t="s">
        <v>83</v>
      </c>
      <c r="Q25" s="56" t="s">
        <v>113</v>
      </c>
      <c r="R25" s="161">
        <v>28</v>
      </c>
      <c r="S25" s="56" t="s">
        <v>127</v>
      </c>
      <c r="T25" s="60">
        <f>R25*1000/$L$4</f>
        <v>200</v>
      </c>
      <c r="U25" s="70">
        <f>T25*$B$7</f>
        <v>1000</v>
      </c>
      <c r="V25" s="70">
        <f>U25*8760/2000</f>
        <v>4380</v>
      </c>
      <c r="W25" s="35" t="str">
        <f>IF($D45=V25,"Match","")</f>
        <v>Match</v>
      </c>
    </row>
    <row r="26" spans="1:23" x14ac:dyDescent="0.2">
      <c r="A26" s="4" t="s">
        <v>70</v>
      </c>
      <c r="B26" s="132">
        <f>IF($B$5="Drum Mix",R5,R3)</f>
        <v>2.23E-2</v>
      </c>
      <c r="C26" s="124">
        <f>$B26*$B$3</f>
        <v>8.92</v>
      </c>
      <c r="D26" s="124">
        <f>$B26*$B$4/2000</f>
        <v>6.69</v>
      </c>
      <c r="E26" s="212" t="s">
        <v>138</v>
      </c>
      <c r="G26" s="56" t="s">
        <v>83</v>
      </c>
      <c r="H26" s="31" t="s">
        <v>101</v>
      </c>
      <c r="I26" s="56" t="s">
        <v>112</v>
      </c>
      <c r="J26" s="161">
        <v>37</v>
      </c>
      <c r="K26" s="40">
        <f t="shared" si="2"/>
        <v>14800</v>
      </c>
      <c r="L26" s="40">
        <f t="shared" si="3"/>
        <v>11100</v>
      </c>
      <c r="M26" s="35" t="str">
        <f t="shared" ref="M26:M31" si="5">IF($D$44=L26,"Match","")</f>
        <v/>
      </c>
      <c r="N26" s="35" t="s">
        <v>114</v>
      </c>
    </row>
    <row r="27" spans="1:23" ht="12.75" customHeight="1" x14ac:dyDescent="0.2">
      <c r="A27" s="5" t="s">
        <v>72</v>
      </c>
      <c r="B27" s="138">
        <f>$R9</f>
        <v>5.2193703181979169E-4</v>
      </c>
      <c r="C27" s="126">
        <f>$B27*$B$3</f>
        <v>0.20877481272791668</v>
      </c>
      <c r="D27" s="126">
        <f>$B27*$B$4/2000</f>
        <v>0.15658110954593749</v>
      </c>
      <c r="E27" s="210"/>
      <c r="G27" s="20" t="s">
        <v>83</v>
      </c>
      <c r="H27" s="23" t="s">
        <v>101</v>
      </c>
      <c r="I27" s="20" t="s">
        <v>113</v>
      </c>
      <c r="J27" s="159">
        <v>37</v>
      </c>
      <c r="K27" s="25">
        <f t="shared" si="2"/>
        <v>14800</v>
      </c>
      <c r="L27" s="25">
        <f t="shared" si="3"/>
        <v>11100</v>
      </c>
      <c r="M27" s="3" t="str">
        <f t="shared" si="5"/>
        <v/>
      </c>
      <c r="N27" s="1" t="s">
        <v>114</v>
      </c>
      <c r="R27" s="27" t="s">
        <v>129</v>
      </c>
    </row>
    <row r="28" spans="1:23" ht="13.5" thickBot="1" x14ac:dyDescent="0.25">
      <c r="A28" s="17" t="s">
        <v>71</v>
      </c>
      <c r="B28" s="140">
        <f>$R10</f>
        <v>5.8588927901473853E-4</v>
      </c>
      <c r="C28" s="144">
        <f>$B28*$B$3</f>
        <v>0.23435571160589541</v>
      </c>
      <c r="D28" s="144">
        <f>$B28*$B$4/2000</f>
        <v>0.17576678370442156</v>
      </c>
      <c r="E28" s="222"/>
      <c r="G28" s="20" t="s">
        <v>83</v>
      </c>
      <c r="H28" s="23" t="s">
        <v>101</v>
      </c>
      <c r="I28" s="20" t="s">
        <v>98</v>
      </c>
      <c r="J28" s="159">
        <v>37</v>
      </c>
      <c r="K28" s="25">
        <f t="shared" si="2"/>
        <v>14800</v>
      </c>
      <c r="L28" s="25">
        <f t="shared" si="3"/>
        <v>11100</v>
      </c>
      <c r="M28" s="3" t="str">
        <f t="shared" si="5"/>
        <v/>
      </c>
      <c r="N28" s="1" t="s">
        <v>114</v>
      </c>
      <c r="P28" s="28" t="s">
        <v>124</v>
      </c>
      <c r="Q28" s="28" t="s">
        <v>59</v>
      </c>
      <c r="R28" s="28" t="s">
        <v>115</v>
      </c>
      <c r="S28" s="28" t="s">
        <v>125</v>
      </c>
      <c r="T28" s="28" t="s">
        <v>79</v>
      </c>
      <c r="U28" s="28" t="s">
        <v>80</v>
      </c>
      <c r="V28" s="28" t="s">
        <v>81</v>
      </c>
      <c r="W28" s="28" t="s">
        <v>87</v>
      </c>
    </row>
    <row r="29" spans="1:23" ht="13.5" thickBot="1" x14ac:dyDescent="0.25">
      <c r="A29" s="36"/>
      <c r="B29" s="36"/>
      <c r="C29" s="36"/>
      <c r="D29" s="36"/>
      <c r="E29" s="49"/>
      <c r="G29" s="20" t="s">
        <v>83</v>
      </c>
      <c r="H29" s="23" t="s">
        <v>102</v>
      </c>
      <c r="I29" s="20" t="s">
        <v>112</v>
      </c>
      <c r="J29" s="159">
        <v>33</v>
      </c>
      <c r="K29" s="25">
        <f t="shared" si="2"/>
        <v>13200</v>
      </c>
      <c r="L29" s="25">
        <f t="shared" si="3"/>
        <v>9900</v>
      </c>
      <c r="M29" s="3" t="str">
        <f t="shared" si="5"/>
        <v>Match</v>
      </c>
      <c r="N29" s="20" t="s">
        <v>117</v>
      </c>
      <c r="P29" s="65" t="s">
        <v>20</v>
      </c>
      <c r="Q29" s="65" t="s">
        <v>112</v>
      </c>
      <c r="R29" s="165">
        <v>2.6000000000000001E-8</v>
      </c>
      <c r="S29" s="65" t="s">
        <v>126</v>
      </c>
      <c r="T29" s="66">
        <f>R29*1000000/$L$2</f>
        <v>2.5490196078431376E-5</v>
      </c>
      <c r="U29" s="66">
        <f t="shared" ref="U29:U40" si="6">T29*$B$7</f>
        <v>1.2745098039215687E-4</v>
      </c>
      <c r="V29" s="66">
        <f>U29*8760/2000</f>
        <v>5.5823529411764704E-4</v>
      </c>
      <c r="W29" s="67"/>
    </row>
    <row r="30" spans="1:23" ht="42" customHeight="1" thickBot="1" x14ac:dyDescent="0.25">
      <c r="A30" s="11" t="s">
        <v>69</v>
      </c>
      <c r="B30" s="12" t="s">
        <v>58</v>
      </c>
      <c r="C30" s="12" t="s">
        <v>42</v>
      </c>
      <c r="D30" s="12" t="s">
        <v>43</v>
      </c>
      <c r="E30" s="13" t="s">
        <v>39</v>
      </c>
      <c r="G30" s="20" t="s">
        <v>83</v>
      </c>
      <c r="H30" s="23" t="s">
        <v>102</v>
      </c>
      <c r="I30" s="20" t="s">
        <v>113</v>
      </c>
      <c r="J30" s="159">
        <v>33</v>
      </c>
      <c r="K30" s="25">
        <f t="shared" si="2"/>
        <v>13200</v>
      </c>
      <c r="L30" s="25">
        <f t="shared" si="3"/>
        <v>9900</v>
      </c>
      <c r="M30" s="3" t="str">
        <f t="shared" si="5"/>
        <v>Match</v>
      </c>
      <c r="N30" s="20" t="s">
        <v>117</v>
      </c>
      <c r="P30" s="56" t="s">
        <v>20</v>
      </c>
      <c r="Q30" s="56" t="s">
        <v>113</v>
      </c>
      <c r="R30" s="167">
        <v>3.4999999999999999E-6</v>
      </c>
      <c r="S30" s="56" t="s">
        <v>127</v>
      </c>
      <c r="T30" s="60">
        <f>R30*1000/$L$4</f>
        <v>2.5000000000000001E-5</v>
      </c>
      <c r="U30" s="60">
        <f t="shared" si="6"/>
        <v>1.25E-4</v>
      </c>
      <c r="V30" s="60">
        <f>U30*8760/2000</f>
        <v>5.4750000000000003E-4</v>
      </c>
      <c r="W30" s="35"/>
    </row>
    <row r="31" spans="1:23" ht="12.75" customHeight="1" x14ac:dyDescent="0.2">
      <c r="A31" s="4" t="s">
        <v>70</v>
      </c>
      <c r="B31" s="132">
        <f>IF($B$5="Drum Mix",IF($B$6="Natural Gas Only",$J$23,IF($B$6="Nat Gas &amp; Fuel Oil",$J$24,$J$25)),IF($B$6="Natural Gas Only",$J$20,IF($B$6="Nat Gas &amp; Fuel Oil",$J$21,$J$22)))</f>
        <v>0.13</v>
      </c>
      <c r="C31" s="124">
        <f>$B31*$B$3</f>
        <v>52</v>
      </c>
      <c r="D31" s="124">
        <f>$B31*$B$4/2000</f>
        <v>39</v>
      </c>
      <c r="E31" s="212" t="s">
        <v>73</v>
      </c>
      <c r="G31" s="54" t="s">
        <v>83</v>
      </c>
      <c r="H31" s="29" t="s">
        <v>102</v>
      </c>
      <c r="I31" s="54" t="s">
        <v>98</v>
      </c>
      <c r="J31" s="160">
        <v>33</v>
      </c>
      <c r="K31" s="39">
        <f t="shared" si="2"/>
        <v>13200</v>
      </c>
      <c r="L31" s="39">
        <f t="shared" si="3"/>
        <v>9900</v>
      </c>
      <c r="M31" s="34" t="str">
        <f t="shared" si="5"/>
        <v>Match</v>
      </c>
      <c r="N31" s="54" t="s">
        <v>117</v>
      </c>
      <c r="P31" s="1" t="s">
        <v>8</v>
      </c>
      <c r="Q31" s="20" t="s">
        <v>113</v>
      </c>
      <c r="R31" s="168">
        <v>5.3000000000000001E-7</v>
      </c>
      <c r="S31" s="20" t="s">
        <v>127</v>
      </c>
      <c r="T31" s="26">
        <f t="shared" ref="T31:T40" si="7">R31*1000/$L$4</f>
        <v>3.7857142857142856E-6</v>
      </c>
      <c r="U31" s="26">
        <f t="shared" si="6"/>
        <v>1.8928571428571428E-5</v>
      </c>
      <c r="V31" s="26">
        <f t="shared" ref="V31:V40" si="8">U31*8760/2000</f>
        <v>8.2907142857142861E-5</v>
      </c>
    </row>
    <row r="32" spans="1:23" x14ac:dyDescent="0.2">
      <c r="A32" s="5" t="s">
        <v>72</v>
      </c>
      <c r="B32" s="138">
        <f>$R$19</f>
        <v>1.3492401684783249E-3</v>
      </c>
      <c r="C32" s="126">
        <f>$B32*$B$3</f>
        <v>0.53969606739132991</v>
      </c>
      <c r="D32" s="126">
        <f>$B32*$B$4/2000</f>
        <v>0.40477205054349746</v>
      </c>
      <c r="E32" s="210"/>
      <c r="G32" s="56" t="s">
        <v>78</v>
      </c>
      <c r="H32" s="31" t="s">
        <v>101</v>
      </c>
      <c r="I32" s="56" t="s">
        <v>112</v>
      </c>
      <c r="J32" s="161">
        <v>2.5000000000000001E-2</v>
      </c>
      <c r="K32" s="33">
        <f t="shared" si="2"/>
        <v>10</v>
      </c>
      <c r="L32" s="33">
        <f t="shared" si="3"/>
        <v>7.5</v>
      </c>
      <c r="M32" s="62" t="str">
        <f>IF($D$10=L32,"Match","")</f>
        <v/>
      </c>
      <c r="N32" s="35" t="s">
        <v>114</v>
      </c>
      <c r="P32" s="1" t="s">
        <v>9</v>
      </c>
      <c r="Q32" s="20" t="s">
        <v>113</v>
      </c>
      <c r="R32" s="168">
        <v>1.9999999999999999E-7</v>
      </c>
      <c r="S32" s="20" t="s">
        <v>127</v>
      </c>
      <c r="T32" s="26">
        <f t="shared" si="7"/>
        <v>1.4285714285714284E-6</v>
      </c>
      <c r="U32" s="26">
        <f t="shared" si="6"/>
        <v>7.1428571428571419E-6</v>
      </c>
      <c r="V32" s="26">
        <f t="shared" si="8"/>
        <v>3.1285714285714285E-5</v>
      </c>
    </row>
    <row r="33" spans="1:24" ht="12.75" customHeight="1" x14ac:dyDescent="0.2">
      <c r="A33" s="6" t="s">
        <v>71</v>
      </c>
      <c r="B33" s="139">
        <f>$R$20</f>
        <v>1.1799806491351657E-3</v>
      </c>
      <c r="C33" s="128">
        <f>$B33*$B$3</f>
        <v>0.47199225965406627</v>
      </c>
      <c r="D33" s="128">
        <f>$B33*$B$4/2000</f>
        <v>0.35399419474054972</v>
      </c>
      <c r="E33" s="210"/>
      <c r="G33" s="20" t="s">
        <v>78</v>
      </c>
      <c r="H33" s="23" t="s">
        <v>101</v>
      </c>
      <c r="I33" s="20" t="s">
        <v>113</v>
      </c>
      <c r="J33" s="159">
        <v>0.12</v>
      </c>
      <c r="K33" s="24">
        <f t="shared" si="2"/>
        <v>48</v>
      </c>
      <c r="L33" s="24">
        <f t="shared" si="3"/>
        <v>36</v>
      </c>
      <c r="M33" s="57" t="str">
        <f t="shared" ref="M33:M37" si="9">IF($D$10=L33,"Match","")</f>
        <v/>
      </c>
      <c r="N33" s="1" t="s">
        <v>114</v>
      </c>
      <c r="P33" s="1" t="s">
        <v>10</v>
      </c>
      <c r="Q33" s="20" t="s">
        <v>113</v>
      </c>
      <c r="R33" s="168">
        <v>1.8E-7</v>
      </c>
      <c r="S33" s="20" t="s">
        <v>127</v>
      </c>
      <c r="T33" s="26">
        <f t="shared" si="7"/>
        <v>1.2857142857142856E-6</v>
      </c>
      <c r="U33" s="26">
        <f t="shared" si="6"/>
        <v>6.4285714285714278E-6</v>
      </c>
      <c r="V33" s="26">
        <f t="shared" si="8"/>
        <v>2.8157142857142851E-5</v>
      </c>
    </row>
    <row r="34" spans="1:24" ht="13.5" thickBot="1" x14ac:dyDescent="0.25">
      <c r="A34" s="7" t="s">
        <v>75</v>
      </c>
      <c r="B34" s="147">
        <f>IF($B$6="Natural Gas Only",T14,T15)</f>
        <v>8.5714285714285719E-3</v>
      </c>
      <c r="C34" s="130">
        <f>$B34*$B$7</f>
        <v>4.2857142857142858E-2</v>
      </c>
      <c r="D34" s="130">
        <f>$C34*8760/2000</f>
        <v>0.18771428571428572</v>
      </c>
      <c r="E34" s="222"/>
      <c r="G34" s="20" t="s">
        <v>78</v>
      </c>
      <c r="H34" s="23" t="s">
        <v>101</v>
      </c>
      <c r="I34" s="20" t="s">
        <v>98</v>
      </c>
      <c r="J34" s="159">
        <v>0.12</v>
      </c>
      <c r="K34" s="24">
        <f t="shared" si="2"/>
        <v>48</v>
      </c>
      <c r="L34" s="24">
        <f t="shared" si="3"/>
        <v>36</v>
      </c>
      <c r="M34" s="57" t="str">
        <f t="shared" si="9"/>
        <v/>
      </c>
      <c r="N34" s="1" t="s">
        <v>114</v>
      </c>
      <c r="P34" s="1" t="s">
        <v>14</v>
      </c>
      <c r="Q34" s="20" t="s">
        <v>113</v>
      </c>
      <c r="R34" s="168">
        <v>9.9999999999999995E-8</v>
      </c>
      <c r="S34" s="20" t="s">
        <v>127</v>
      </c>
      <c r="T34" s="26">
        <f t="shared" si="7"/>
        <v>7.1428571428571421E-7</v>
      </c>
      <c r="U34" s="26">
        <f t="shared" si="6"/>
        <v>3.5714285714285709E-6</v>
      </c>
      <c r="V34" s="26">
        <f t="shared" si="8"/>
        <v>1.5642857142857143E-5</v>
      </c>
      <c r="W34" s="26"/>
    </row>
    <row r="35" spans="1:24" ht="13.5" thickBot="1" x14ac:dyDescent="0.25">
      <c r="A35" s="36"/>
      <c r="B35" s="36"/>
      <c r="C35" s="36"/>
      <c r="D35" s="36"/>
      <c r="E35" s="49"/>
      <c r="G35" s="20" t="s">
        <v>78</v>
      </c>
      <c r="H35" s="23" t="s">
        <v>102</v>
      </c>
      <c r="I35" s="20" t="s">
        <v>112</v>
      </c>
      <c r="J35" s="159">
        <v>2.5999999999999999E-2</v>
      </c>
      <c r="K35" s="24">
        <f t="shared" si="2"/>
        <v>10.4</v>
      </c>
      <c r="L35" s="24">
        <f t="shared" si="3"/>
        <v>7.8</v>
      </c>
      <c r="M35" s="57" t="str">
        <f t="shared" si="9"/>
        <v/>
      </c>
      <c r="N35" s="20" t="s">
        <v>117</v>
      </c>
      <c r="P35" s="1" t="s">
        <v>18</v>
      </c>
      <c r="Q35" s="20" t="s">
        <v>113</v>
      </c>
      <c r="R35" s="168">
        <v>4.3999999999999997E-8</v>
      </c>
      <c r="S35" s="20" t="s">
        <v>127</v>
      </c>
      <c r="T35" s="26">
        <f t="shared" si="7"/>
        <v>3.1428571428571428E-7</v>
      </c>
      <c r="U35" s="26">
        <f t="shared" si="6"/>
        <v>1.5714285714285714E-6</v>
      </c>
      <c r="V35" s="26">
        <f t="shared" si="8"/>
        <v>6.8828571428571427E-6</v>
      </c>
    </row>
    <row r="36" spans="1:24" ht="42" customHeight="1" thickBot="1" x14ac:dyDescent="0.25">
      <c r="A36" s="11" t="s">
        <v>76</v>
      </c>
      <c r="B36" s="12" t="s">
        <v>58</v>
      </c>
      <c r="C36" s="12" t="s">
        <v>42</v>
      </c>
      <c r="D36" s="12" t="s">
        <v>43</v>
      </c>
      <c r="E36" s="13" t="s">
        <v>39</v>
      </c>
      <c r="G36" s="20" t="s">
        <v>78</v>
      </c>
      <c r="H36" s="23" t="s">
        <v>102</v>
      </c>
      <c r="I36" s="20" t="s">
        <v>113</v>
      </c>
      <c r="J36" s="159">
        <v>5.5E-2</v>
      </c>
      <c r="K36" s="24">
        <f t="shared" si="2"/>
        <v>22</v>
      </c>
      <c r="L36" s="24">
        <f t="shared" si="3"/>
        <v>16.5</v>
      </c>
      <c r="M36" s="57" t="str">
        <f t="shared" si="9"/>
        <v>Match</v>
      </c>
      <c r="N36" s="20" t="s">
        <v>117</v>
      </c>
      <c r="P36" s="1" t="s">
        <v>19</v>
      </c>
      <c r="Q36" s="20" t="s">
        <v>113</v>
      </c>
      <c r="R36" s="168">
        <v>3.2000000000000002E-8</v>
      </c>
      <c r="S36" s="20" t="s">
        <v>127</v>
      </c>
      <c r="T36" s="26">
        <f t="shared" si="7"/>
        <v>2.285714285714286E-7</v>
      </c>
      <c r="U36" s="26">
        <f t="shared" si="6"/>
        <v>1.142857142857143E-6</v>
      </c>
      <c r="V36" s="26">
        <f t="shared" si="8"/>
        <v>5.0057142857142862E-6</v>
      </c>
    </row>
    <row r="37" spans="1:24" x14ac:dyDescent="0.2">
      <c r="A37" s="4" t="s">
        <v>70</v>
      </c>
      <c r="B37" s="132">
        <f>IF($B$5="Drum Mix",IF($B$6="Natural Gas Only",$J$56,IF($B$6="Nat Gas &amp; Fuel Oil",$J$57,$J$58)),IF($B$6="Natural Gas Only",$J$53,IF($B$6="Nat Gas &amp; Fuel Oil",$J$54,$J$55)))</f>
        <v>3.2000000000000001E-2</v>
      </c>
      <c r="C37" s="124">
        <f>$B37*$B$3</f>
        <v>12.8</v>
      </c>
      <c r="D37" s="124">
        <f>$B37*$B$4/2000</f>
        <v>9.6</v>
      </c>
      <c r="E37" s="212" t="s">
        <v>140</v>
      </c>
      <c r="G37" s="54" t="s">
        <v>78</v>
      </c>
      <c r="H37" s="29" t="s">
        <v>102</v>
      </c>
      <c r="I37" s="54" t="s">
        <v>98</v>
      </c>
      <c r="J37" s="160">
        <v>5.5E-2</v>
      </c>
      <c r="K37" s="30">
        <f t="shared" si="2"/>
        <v>22</v>
      </c>
      <c r="L37" s="30">
        <f t="shared" si="3"/>
        <v>16.5</v>
      </c>
      <c r="M37" s="63" t="str">
        <f t="shared" si="9"/>
        <v>Match</v>
      </c>
      <c r="N37" s="54" t="s">
        <v>117</v>
      </c>
      <c r="P37" s="1" t="s">
        <v>22</v>
      </c>
      <c r="Q37" s="20" t="s">
        <v>113</v>
      </c>
      <c r="R37" s="168">
        <v>1.7E-5</v>
      </c>
      <c r="S37" s="20" t="s">
        <v>127</v>
      </c>
      <c r="T37" s="26">
        <f t="shared" si="7"/>
        <v>1.2142857142857144E-4</v>
      </c>
      <c r="U37" s="26">
        <f t="shared" si="6"/>
        <v>6.071428571428572E-4</v>
      </c>
      <c r="V37" s="26">
        <f t="shared" si="8"/>
        <v>2.6592857142857147E-3</v>
      </c>
    </row>
    <row r="38" spans="1:24" x14ac:dyDescent="0.2">
      <c r="A38" s="5" t="s">
        <v>72</v>
      </c>
      <c r="B38" s="138">
        <f>S48</f>
        <v>3.9094112982002785E-3</v>
      </c>
      <c r="C38" s="126">
        <f>$B38*$B$3</f>
        <v>1.5637645192801113</v>
      </c>
      <c r="D38" s="126">
        <f>$B38*$B$4/2000</f>
        <v>1.1728233894600835</v>
      </c>
      <c r="E38" s="210"/>
      <c r="G38" s="56" t="s">
        <v>84</v>
      </c>
      <c r="H38" s="31" t="s">
        <v>101</v>
      </c>
      <c r="I38" s="56" t="s">
        <v>112</v>
      </c>
      <c r="J38" s="161">
        <v>4.5999999999999999E-3</v>
      </c>
      <c r="K38" s="33">
        <f t="shared" si="2"/>
        <v>1.8399999999999999</v>
      </c>
      <c r="L38" s="33">
        <f t="shared" si="3"/>
        <v>1.38</v>
      </c>
      <c r="M38" s="62" t="str">
        <f>IF($D$14=L38,"Match","")</f>
        <v/>
      </c>
      <c r="N38" s="35" t="s">
        <v>114</v>
      </c>
      <c r="P38" s="1" t="s">
        <v>51</v>
      </c>
      <c r="Q38" s="20" t="s">
        <v>113</v>
      </c>
      <c r="R38" s="168">
        <v>4.8999999999999997E-6</v>
      </c>
      <c r="S38" s="20" t="s">
        <v>127</v>
      </c>
      <c r="T38" s="26">
        <f t="shared" si="7"/>
        <v>3.4999999999999997E-5</v>
      </c>
      <c r="U38" s="26">
        <f t="shared" si="6"/>
        <v>1.7499999999999997E-4</v>
      </c>
      <c r="V38" s="26">
        <f t="shared" si="8"/>
        <v>7.6649999999999982E-4</v>
      </c>
    </row>
    <row r="39" spans="1:24" x14ac:dyDescent="0.2">
      <c r="A39" s="6" t="s">
        <v>71</v>
      </c>
      <c r="B39" s="139">
        <f>S49</f>
        <v>1.2186685392707451E-2</v>
      </c>
      <c r="C39" s="128">
        <f>$B39*$B$3</f>
        <v>4.8746741570829801</v>
      </c>
      <c r="D39" s="128">
        <f>$B39*$B$4/2000</f>
        <v>3.6560056178122355</v>
      </c>
      <c r="E39" s="213"/>
      <c r="G39" s="20" t="s">
        <v>84</v>
      </c>
      <c r="H39" s="23" t="s">
        <v>101</v>
      </c>
      <c r="I39" s="20" t="s">
        <v>113</v>
      </c>
      <c r="J39" s="159">
        <v>8.7999999999999995E-2</v>
      </c>
      <c r="K39" s="24">
        <f t="shared" si="2"/>
        <v>35.199999999999996</v>
      </c>
      <c r="L39" s="24">
        <f t="shared" si="3"/>
        <v>26.4</v>
      </c>
      <c r="M39" s="57" t="str">
        <f t="shared" ref="M39:M43" si="10">IF($D$14=L39,"Match","")</f>
        <v/>
      </c>
      <c r="N39" s="1" t="s">
        <v>114</v>
      </c>
      <c r="P39" s="1" t="s">
        <v>24</v>
      </c>
      <c r="Q39" s="20" t="s">
        <v>113</v>
      </c>
      <c r="R39" s="168">
        <v>3.2000000000000002E-8</v>
      </c>
      <c r="S39" s="20" t="s">
        <v>127</v>
      </c>
      <c r="T39" s="26">
        <f t="shared" si="7"/>
        <v>2.285714285714286E-7</v>
      </c>
      <c r="U39" s="26">
        <f t="shared" si="6"/>
        <v>1.142857142857143E-6</v>
      </c>
      <c r="V39" s="26">
        <f t="shared" si="8"/>
        <v>5.0057142857142862E-6</v>
      </c>
    </row>
    <row r="40" spans="1:24" ht="13.5" thickBot="1" x14ac:dyDescent="0.25">
      <c r="A40" s="7" t="s">
        <v>75</v>
      </c>
      <c r="B40" s="147">
        <f>IF($B$6="Natural Gas Only",$R$57,$R$58)</f>
        <v>1.8941592857142861E-4</v>
      </c>
      <c r="C40" s="130">
        <f>$B40*$B$7</f>
        <v>9.4707964285714304E-4</v>
      </c>
      <c r="D40" s="130">
        <f>$C40*8760/2000</f>
        <v>4.1482088357142864E-3</v>
      </c>
      <c r="E40" s="214"/>
      <c r="G40" s="20" t="s">
        <v>84</v>
      </c>
      <c r="H40" s="23" t="s">
        <v>101</v>
      </c>
      <c r="I40" s="20" t="s">
        <v>98</v>
      </c>
      <c r="J40" s="159">
        <v>8.7999999999999995E-2</v>
      </c>
      <c r="K40" s="24">
        <f t="shared" si="2"/>
        <v>35.199999999999996</v>
      </c>
      <c r="L40" s="24">
        <f t="shared" si="3"/>
        <v>26.4</v>
      </c>
      <c r="M40" s="57" t="str">
        <f t="shared" si="10"/>
        <v/>
      </c>
      <c r="N40" s="1" t="s">
        <v>114</v>
      </c>
      <c r="P40" s="1" t="s">
        <v>128</v>
      </c>
      <c r="Q40" s="20" t="s">
        <v>113</v>
      </c>
      <c r="R40" s="168">
        <v>2.3000000000000001E-10</v>
      </c>
      <c r="S40" s="20" t="s">
        <v>127</v>
      </c>
      <c r="T40" s="26">
        <f t="shared" si="7"/>
        <v>1.6428571428571428E-9</v>
      </c>
      <c r="U40" s="26">
        <f t="shared" si="6"/>
        <v>8.2142857142857136E-9</v>
      </c>
      <c r="V40" s="26">
        <f t="shared" si="8"/>
        <v>3.5978571428571427E-8</v>
      </c>
    </row>
    <row r="41" spans="1:24" x14ac:dyDescent="0.2">
      <c r="A41" s="36"/>
      <c r="B41" s="36"/>
      <c r="C41" s="36"/>
      <c r="D41" s="36"/>
      <c r="E41" s="49"/>
      <c r="G41" s="20" t="s">
        <v>84</v>
      </c>
      <c r="H41" s="23" t="s">
        <v>102</v>
      </c>
      <c r="I41" s="20" t="s">
        <v>112</v>
      </c>
      <c r="J41" s="159">
        <v>3.3999999999999998E-3</v>
      </c>
      <c r="K41" s="24">
        <f t="shared" si="2"/>
        <v>1.3599999999999999</v>
      </c>
      <c r="L41" s="24">
        <f t="shared" si="3"/>
        <v>1.02</v>
      </c>
      <c r="M41" s="57" t="str">
        <f t="shared" si="10"/>
        <v/>
      </c>
      <c r="N41" s="20" t="s">
        <v>117</v>
      </c>
    </row>
    <row r="42" spans="1:24" ht="13.5" thickBot="1" x14ac:dyDescent="0.25">
      <c r="A42" s="36"/>
      <c r="B42" s="36"/>
      <c r="C42" s="36"/>
      <c r="D42" s="36"/>
      <c r="E42" s="49"/>
      <c r="G42" s="20" t="s">
        <v>84</v>
      </c>
      <c r="H42" s="23" t="s">
        <v>102</v>
      </c>
      <c r="I42" s="20" t="s">
        <v>113</v>
      </c>
      <c r="J42" s="159">
        <v>1.0999999999999999E-2</v>
      </c>
      <c r="K42" s="24">
        <f t="shared" si="2"/>
        <v>4.3999999999999995</v>
      </c>
      <c r="L42" s="24">
        <f t="shared" si="3"/>
        <v>3.3</v>
      </c>
      <c r="M42" s="57" t="str">
        <f t="shared" si="10"/>
        <v/>
      </c>
      <c r="N42" s="20" t="s">
        <v>117</v>
      </c>
    </row>
    <row r="43" spans="1:24" ht="42" customHeight="1" thickBot="1" x14ac:dyDescent="0.25">
      <c r="A43" s="11" t="s">
        <v>139</v>
      </c>
      <c r="B43" s="12" t="s">
        <v>58</v>
      </c>
      <c r="C43" s="12" t="s">
        <v>42</v>
      </c>
      <c r="D43" s="12" t="s">
        <v>43</v>
      </c>
      <c r="E43" s="13" t="s">
        <v>39</v>
      </c>
      <c r="G43" s="20" t="s">
        <v>84</v>
      </c>
      <c r="H43" s="23" t="s">
        <v>102</v>
      </c>
      <c r="I43" s="20" t="s">
        <v>98</v>
      </c>
      <c r="J43" s="159">
        <v>5.8000000000000003E-2</v>
      </c>
      <c r="K43" s="24">
        <f t="shared" si="2"/>
        <v>23.200000000000003</v>
      </c>
      <c r="L43" s="24">
        <f t="shared" si="3"/>
        <v>17.399999999999999</v>
      </c>
      <c r="M43" s="57" t="str">
        <f t="shared" si="10"/>
        <v>Match</v>
      </c>
      <c r="N43" s="20" t="s">
        <v>117</v>
      </c>
      <c r="P43" s="27" t="s">
        <v>131</v>
      </c>
    </row>
    <row r="44" spans="1:24" x14ac:dyDescent="0.2">
      <c r="A44" s="4" t="s">
        <v>70</v>
      </c>
      <c r="B44" s="132">
        <f>IF($B$5="Drum Mix",IF($B$6="Natural Gas Only",$J$29,IF($B$6="Nat Gas &amp; Fuel Oil",$J$30,$J$31)),IF($B$6="Natural Gas Only",$J$26,IF($B$6="Nat Gas &amp; Fuel Oil",$J$27,$J$28)))</f>
        <v>33</v>
      </c>
      <c r="C44" s="133">
        <f>$B44*$B$3</f>
        <v>13200</v>
      </c>
      <c r="D44" s="133">
        <f>$B44*$B$4/2000</f>
        <v>9900</v>
      </c>
      <c r="E44" s="212" t="s">
        <v>141</v>
      </c>
      <c r="P44" s="27" t="s">
        <v>144</v>
      </c>
      <c r="S44" s="27" t="s">
        <v>97</v>
      </c>
    </row>
    <row r="45" spans="1:24" ht="13.5" thickBot="1" x14ac:dyDescent="0.25">
      <c r="A45" s="7" t="s">
        <v>75</v>
      </c>
      <c r="B45" s="135">
        <f>IF($B$6="Natural Gas Only",$T$24,$T$25)</f>
        <v>200</v>
      </c>
      <c r="C45" s="136">
        <f>$B45*$B$7</f>
        <v>1000</v>
      </c>
      <c r="D45" s="136">
        <f>$C45*8760/2000</f>
        <v>4380</v>
      </c>
      <c r="E45" s="222"/>
      <c r="G45" s="27" t="s">
        <v>122</v>
      </c>
      <c r="J45" s="27" t="s">
        <v>115</v>
      </c>
      <c r="P45" s="28" t="s">
        <v>132</v>
      </c>
      <c r="Q45" s="28" t="s">
        <v>56</v>
      </c>
      <c r="R45" s="28" t="s">
        <v>145</v>
      </c>
      <c r="S45" s="28" t="s">
        <v>115</v>
      </c>
      <c r="T45" s="28" t="s">
        <v>80</v>
      </c>
      <c r="U45" s="28" t="s">
        <v>81</v>
      </c>
      <c r="V45" s="28" t="s">
        <v>87</v>
      </c>
      <c r="W45" s="28" t="s">
        <v>39</v>
      </c>
    </row>
    <row r="46" spans="1:24" ht="13.5" thickBot="1" x14ac:dyDescent="0.25">
      <c r="A46" s="36"/>
      <c r="B46" s="36"/>
      <c r="C46" s="36"/>
      <c r="D46" s="36"/>
      <c r="E46" s="49"/>
      <c r="G46" s="28" t="s">
        <v>56</v>
      </c>
      <c r="H46" s="28" t="s">
        <v>55</v>
      </c>
      <c r="I46" s="28" t="s">
        <v>59</v>
      </c>
      <c r="J46" s="28" t="s">
        <v>96</v>
      </c>
      <c r="K46" s="28" t="s">
        <v>80</v>
      </c>
      <c r="L46" s="28" t="s">
        <v>81</v>
      </c>
      <c r="M46" s="28" t="s">
        <v>87</v>
      </c>
      <c r="N46" s="28" t="s">
        <v>39</v>
      </c>
      <c r="P46" s="20" t="s">
        <v>130</v>
      </c>
      <c r="Q46" s="20" t="s">
        <v>86</v>
      </c>
      <c r="R46" s="20"/>
      <c r="S46" s="26">
        <f>0.0172*(-$H$1)*EXP(0.0251*($H$2+460)-20.43)</f>
        <v>4.1589481895747647E-3</v>
      </c>
      <c r="T46" s="22">
        <f t="shared" ref="T46:T51" si="11">S46*$B$3</f>
        <v>1.6635792758299059</v>
      </c>
      <c r="U46" s="22">
        <f t="shared" ref="U46:U51" si="12">S46*$B$4/2000</f>
        <v>1.2476844568724292</v>
      </c>
      <c r="V46" s="72"/>
      <c r="W46" s="20" t="s">
        <v>131</v>
      </c>
    </row>
    <row r="47" spans="1:24" ht="42" customHeight="1" thickBot="1" x14ac:dyDescent="0.25">
      <c r="A47" s="11" t="s">
        <v>142</v>
      </c>
      <c r="B47" s="12" t="s">
        <v>58</v>
      </c>
      <c r="C47" s="12" t="s">
        <v>42</v>
      </c>
      <c r="D47" s="12" t="s">
        <v>43</v>
      </c>
      <c r="E47" s="13" t="s">
        <v>39</v>
      </c>
      <c r="G47" s="20" t="s">
        <v>85</v>
      </c>
      <c r="H47" s="23" t="s">
        <v>101</v>
      </c>
      <c r="I47" s="20" t="s">
        <v>112</v>
      </c>
      <c r="J47" s="159">
        <v>7.4000000000000003E-3</v>
      </c>
      <c r="K47" s="24">
        <f t="shared" ref="K47:K58" si="13">J47*$B$3</f>
        <v>2.96</v>
      </c>
      <c r="L47" s="24">
        <f t="shared" ref="L47:L58" si="14">J47*$B$4/2000</f>
        <v>2.2200000000000002</v>
      </c>
      <c r="M47" s="3" t="str">
        <f t="shared" ref="M47:M52" si="15">IF($D$48=L47,"Match","")</f>
        <v/>
      </c>
      <c r="N47" s="1" t="s">
        <v>116</v>
      </c>
      <c r="P47" s="54" t="s">
        <v>71</v>
      </c>
      <c r="Q47" s="54" t="s">
        <v>86</v>
      </c>
      <c r="R47" s="54"/>
      <c r="S47" s="59">
        <f>0.0504*(-$H$1)*EXP(0.0251*($H$2+460)-20.43)</f>
        <v>1.2186685392707451E-2</v>
      </c>
      <c r="T47" s="55">
        <f t="shared" si="11"/>
        <v>4.8746741570829801</v>
      </c>
      <c r="U47" s="55">
        <f t="shared" si="12"/>
        <v>3.6560056178122355</v>
      </c>
      <c r="V47" s="73"/>
      <c r="W47" s="54" t="s">
        <v>131</v>
      </c>
      <c r="X47" s="34"/>
    </row>
    <row r="48" spans="1:24" x14ac:dyDescent="0.2">
      <c r="A48" s="4" t="s">
        <v>70</v>
      </c>
      <c r="B48" s="132">
        <f>IF($B$5="Drum Mix",IF($B$6="Natural Gas Only",$J$50,IF($B$6="Nat Gas &amp; Fuel Oil",$J$51,$J$52)),IF($B$6="Natural Gas Only",$J$47,IF($B$6="Nat Gas &amp; Fuel Oil",$J$48,$J$49)))</f>
        <v>1.2E-2</v>
      </c>
      <c r="C48" s="124">
        <f>$B48*$B$3</f>
        <v>4.8</v>
      </c>
      <c r="D48" s="124">
        <f>$B48*$B$4/2000</f>
        <v>3.6</v>
      </c>
      <c r="E48" s="212" t="s">
        <v>148</v>
      </c>
      <c r="G48" s="20" t="s">
        <v>85</v>
      </c>
      <c r="H48" s="23" t="s">
        <v>101</v>
      </c>
      <c r="I48" s="20" t="s">
        <v>113</v>
      </c>
      <c r="J48" s="159">
        <v>7.4000000000000003E-3</v>
      </c>
      <c r="K48" s="24">
        <f t="shared" si="13"/>
        <v>2.96</v>
      </c>
      <c r="L48" s="24">
        <f t="shared" si="14"/>
        <v>2.2200000000000002</v>
      </c>
      <c r="M48" s="3" t="str">
        <f t="shared" si="15"/>
        <v/>
      </c>
      <c r="N48" s="1" t="s">
        <v>116</v>
      </c>
      <c r="P48" s="56" t="s">
        <v>130</v>
      </c>
      <c r="Q48" s="56" t="s">
        <v>5</v>
      </c>
      <c r="R48" s="171">
        <v>0.94</v>
      </c>
      <c r="S48" s="60">
        <f>$R48*$S$46</f>
        <v>3.9094112982002785E-3</v>
      </c>
      <c r="T48" s="61">
        <f t="shared" si="11"/>
        <v>1.5637645192801113</v>
      </c>
      <c r="U48" s="61">
        <f t="shared" si="12"/>
        <v>1.1728233894600835</v>
      </c>
      <c r="V48" s="35" t="str">
        <f>IF($D$38=U48,"Match","")</f>
        <v>Match</v>
      </c>
      <c r="W48" s="56" t="s">
        <v>144</v>
      </c>
      <c r="X48" s="35"/>
    </row>
    <row r="49" spans="1:24" x14ac:dyDescent="0.2">
      <c r="A49" s="5" t="s">
        <v>72</v>
      </c>
      <c r="B49" s="138">
        <f>S50</f>
        <v>2.7033163232235974E-4</v>
      </c>
      <c r="C49" s="126">
        <f>$B49*$B$3</f>
        <v>0.10813265292894389</v>
      </c>
      <c r="D49" s="126">
        <f>$B49*$B$4/2000</f>
        <v>8.1099489696707924E-2</v>
      </c>
      <c r="E49" s="210"/>
      <c r="G49" s="20" t="s">
        <v>85</v>
      </c>
      <c r="H49" s="23" t="s">
        <v>101</v>
      </c>
      <c r="I49" s="20" t="s">
        <v>98</v>
      </c>
      <c r="J49" s="159">
        <v>7.4000000000000003E-3</v>
      </c>
      <c r="K49" s="24">
        <f t="shared" si="13"/>
        <v>2.96</v>
      </c>
      <c r="L49" s="24">
        <f t="shared" si="14"/>
        <v>2.2200000000000002</v>
      </c>
      <c r="M49" s="3" t="str">
        <f t="shared" si="15"/>
        <v/>
      </c>
      <c r="N49" s="1" t="s">
        <v>116</v>
      </c>
      <c r="P49" s="54" t="s">
        <v>71</v>
      </c>
      <c r="Q49" s="54" t="s">
        <v>5</v>
      </c>
      <c r="R49" s="172">
        <v>1</v>
      </c>
      <c r="S49" s="59">
        <f>$R49*$S$47</f>
        <v>1.2186685392707451E-2</v>
      </c>
      <c r="T49" s="55">
        <f t="shared" si="11"/>
        <v>4.8746741570829801</v>
      </c>
      <c r="U49" s="55">
        <f t="shared" si="12"/>
        <v>3.6560056178122355</v>
      </c>
      <c r="V49" s="34" t="str">
        <f>IF($D$39=U49,"Match","")</f>
        <v>Match</v>
      </c>
      <c r="W49" s="34" t="s">
        <v>144</v>
      </c>
      <c r="X49" s="34"/>
    </row>
    <row r="50" spans="1:24" ht="13.5" thickBot="1" x14ac:dyDescent="0.25">
      <c r="A50" s="17" t="s">
        <v>71</v>
      </c>
      <c r="B50" s="140">
        <f>S51</f>
        <v>3.1685382021039367E-5</v>
      </c>
      <c r="C50" s="144">
        <f>$B50*$B$3</f>
        <v>1.2674152808415747E-2</v>
      </c>
      <c r="D50" s="144">
        <f>$B50*$B$4/2000</f>
        <v>9.5056146063118106E-3</v>
      </c>
      <c r="E50" s="222"/>
      <c r="G50" s="20" t="s">
        <v>85</v>
      </c>
      <c r="H50" s="23" t="s">
        <v>102</v>
      </c>
      <c r="I50" s="20" t="s">
        <v>112</v>
      </c>
      <c r="J50" s="159">
        <v>1.2E-2</v>
      </c>
      <c r="K50" s="24">
        <f t="shared" si="13"/>
        <v>4.8</v>
      </c>
      <c r="L50" s="24">
        <f t="shared" si="14"/>
        <v>3.6</v>
      </c>
      <c r="M50" s="3" t="str">
        <f t="shared" si="15"/>
        <v>Match</v>
      </c>
      <c r="N50" s="20" t="s">
        <v>118</v>
      </c>
      <c r="P50" s="56" t="s">
        <v>130</v>
      </c>
      <c r="Q50" s="56" t="s">
        <v>85</v>
      </c>
      <c r="R50" s="173">
        <v>6.5000000000000002E-2</v>
      </c>
      <c r="S50" s="60">
        <f>$R50*$S$46</f>
        <v>2.7033163232235974E-4</v>
      </c>
      <c r="T50" s="61">
        <f t="shared" si="11"/>
        <v>0.10813265292894389</v>
      </c>
      <c r="U50" s="61">
        <f t="shared" si="12"/>
        <v>8.1099489696707924E-2</v>
      </c>
      <c r="V50" s="35" t="str">
        <f>IF($D$49=U50,"Match","")</f>
        <v>Match</v>
      </c>
      <c r="W50" s="35" t="s">
        <v>144</v>
      </c>
      <c r="X50" s="35"/>
    </row>
    <row r="51" spans="1:24" ht="13.5" thickBot="1" x14ac:dyDescent="0.25">
      <c r="A51" s="36"/>
      <c r="B51" s="36"/>
      <c r="C51" s="36"/>
      <c r="D51" s="36"/>
      <c r="E51" s="49"/>
      <c r="G51" s="20" t="s">
        <v>85</v>
      </c>
      <c r="H51" s="23" t="s">
        <v>102</v>
      </c>
      <c r="I51" s="20" t="s">
        <v>113</v>
      </c>
      <c r="J51" s="159">
        <v>1.2E-2</v>
      </c>
      <c r="K51" s="24">
        <f t="shared" si="13"/>
        <v>4.8</v>
      </c>
      <c r="L51" s="24">
        <f t="shared" si="14"/>
        <v>3.6</v>
      </c>
      <c r="M51" s="3" t="str">
        <f t="shared" si="15"/>
        <v>Match</v>
      </c>
      <c r="N51" s="20" t="s">
        <v>118</v>
      </c>
      <c r="P51" s="20" t="s">
        <v>71</v>
      </c>
      <c r="Q51" s="20" t="s">
        <v>85</v>
      </c>
      <c r="R51" s="174">
        <v>2.5999999999999999E-3</v>
      </c>
      <c r="S51" s="26">
        <f>$R51*$S$47</f>
        <v>3.1685382021039367E-5</v>
      </c>
      <c r="T51" s="22">
        <f t="shared" si="11"/>
        <v>1.2674152808415747E-2</v>
      </c>
      <c r="U51" s="22">
        <f t="shared" si="12"/>
        <v>9.5056146063118106E-3</v>
      </c>
      <c r="V51" s="1" t="str">
        <f>IF($D$50=U51,"Match","")</f>
        <v>Match</v>
      </c>
      <c r="W51" s="1" t="s">
        <v>144</v>
      </c>
    </row>
    <row r="52" spans="1:24" ht="42" customHeight="1" thickBot="1" x14ac:dyDescent="0.25">
      <c r="A52" s="11" t="s">
        <v>77</v>
      </c>
      <c r="B52" s="12" t="s">
        <v>40</v>
      </c>
      <c r="C52" s="12" t="s">
        <v>42</v>
      </c>
      <c r="D52" s="12" t="s">
        <v>43</v>
      </c>
      <c r="E52" s="13" t="s">
        <v>39</v>
      </c>
      <c r="G52" s="54" t="s">
        <v>85</v>
      </c>
      <c r="H52" s="29" t="s">
        <v>102</v>
      </c>
      <c r="I52" s="54" t="s">
        <v>98</v>
      </c>
      <c r="J52" s="160">
        <v>1.2E-2</v>
      </c>
      <c r="K52" s="30">
        <f t="shared" si="13"/>
        <v>4.8</v>
      </c>
      <c r="L52" s="30">
        <f t="shared" si="14"/>
        <v>3.6</v>
      </c>
      <c r="M52" s="34" t="str">
        <f t="shared" si="15"/>
        <v>Match</v>
      </c>
      <c r="N52" s="54" t="s">
        <v>118</v>
      </c>
    </row>
    <row r="53" spans="1:24" ht="15.75" x14ac:dyDescent="0.3">
      <c r="A53" s="4" t="s">
        <v>175</v>
      </c>
      <c r="B53" s="132">
        <v>1</v>
      </c>
      <c r="C53" s="133">
        <f>SUM(C44:C45)</f>
        <v>14200</v>
      </c>
      <c r="D53" s="133">
        <f>SUM(D44:D45)</f>
        <v>14280</v>
      </c>
      <c r="E53" s="212" t="s">
        <v>143</v>
      </c>
      <c r="G53" s="56" t="s">
        <v>5</v>
      </c>
      <c r="H53" s="31" t="s">
        <v>101</v>
      </c>
      <c r="I53" s="56" t="s">
        <v>112</v>
      </c>
      <c r="J53" s="161">
        <v>8.2000000000000007E-3</v>
      </c>
      <c r="K53" s="33">
        <f t="shared" si="13"/>
        <v>3.2800000000000002</v>
      </c>
      <c r="L53" s="33">
        <f t="shared" si="14"/>
        <v>2.46</v>
      </c>
      <c r="M53" s="35" t="str">
        <f t="shared" ref="M53:M58" si="16">IF($D$37=L53,"Match","")</f>
        <v/>
      </c>
      <c r="N53" s="35" t="s">
        <v>116</v>
      </c>
      <c r="P53" s="20" t="s">
        <v>146</v>
      </c>
    </row>
    <row r="54" spans="1:24" x14ac:dyDescent="0.2">
      <c r="A54" s="5" t="s">
        <v>41</v>
      </c>
      <c r="B54" s="134">
        <v>25</v>
      </c>
      <c r="C54" s="126">
        <f>SUM(C48:C50)</f>
        <v>4.9208068057373593</v>
      </c>
      <c r="D54" s="126">
        <f>SUM(D48:D50)</f>
        <v>3.6906051043030201</v>
      </c>
      <c r="E54" s="210"/>
      <c r="G54" s="20" t="s">
        <v>5</v>
      </c>
      <c r="H54" s="23" t="s">
        <v>101</v>
      </c>
      <c r="I54" s="20" t="s">
        <v>113</v>
      </c>
      <c r="J54" s="159">
        <v>8.2000000000000007E-3</v>
      </c>
      <c r="K54" s="24">
        <f t="shared" si="13"/>
        <v>3.2800000000000002</v>
      </c>
      <c r="L54" s="24">
        <f t="shared" si="14"/>
        <v>2.46</v>
      </c>
      <c r="M54" s="3" t="str">
        <f t="shared" si="16"/>
        <v/>
      </c>
      <c r="N54" s="1" t="s">
        <v>116</v>
      </c>
      <c r="P54" s="27" t="s">
        <v>131</v>
      </c>
    </row>
    <row r="55" spans="1:24" ht="16.5" thickBot="1" x14ac:dyDescent="0.35">
      <c r="A55" s="17" t="s">
        <v>176</v>
      </c>
      <c r="B55" s="146"/>
      <c r="C55" s="145"/>
      <c r="D55" s="145">
        <f>D53*B53+D54*B54</f>
        <v>14372.265127607576</v>
      </c>
      <c r="E55" s="222"/>
      <c r="G55" s="20" t="s">
        <v>5</v>
      </c>
      <c r="H55" s="23" t="s">
        <v>101</v>
      </c>
      <c r="I55" s="20" t="s">
        <v>98</v>
      </c>
      <c r="J55" s="159">
        <v>3.5999999999999997E-2</v>
      </c>
      <c r="K55" s="24">
        <f t="shared" si="13"/>
        <v>14.399999999999999</v>
      </c>
      <c r="L55" s="24">
        <f t="shared" si="14"/>
        <v>10.8</v>
      </c>
      <c r="M55" s="3" t="str">
        <f t="shared" si="16"/>
        <v/>
      </c>
      <c r="N55" s="1" t="s">
        <v>116</v>
      </c>
      <c r="P55" s="27" t="s">
        <v>144</v>
      </c>
      <c r="R55" s="27" t="s">
        <v>147</v>
      </c>
    </row>
    <row r="56" spans="1:24" ht="13.5" thickBot="1" x14ac:dyDescent="0.25">
      <c r="A56" s="36"/>
      <c r="B56" s="36"/>
      <c r="C56" s="36"/>
      <c r="D56" s="36"/>
      <c r="E56" s="49"/>
      <c r="G56" s="20" t="s">
        <v>5</v>
      </c>
      <c r="H56" s="23" t="s">
        <v>102</v>
      </c>
      <c r="I56" s="20" t="s">
        <v>112</v>
      </c>
      <c r="J56" s="159">
        <v>3.2000000000000001E-2</v>
      </c>
      <c r="K56" s="24">
        <f t="shared" si="13"/>
        <v>12.8</v>
      </c>
      <c r="L56" s="24">
        <f t="shared" si="14"/>
        <v>9.6</v>
      </c>
      <c r="M56" s="3" t="str">
        <f t="shared" si="16"/>
        <v>Match</v>
      </c>
      <c r="N56" s="20" t="s">
        <v>118</v>
      </c>
      <c r="P56" s="28" t="s">
        <v>124</v>
      </c>
      <c r="Q56" s="28" t="s">
        <v>56</v>
      </c>
      <c r="R56" s="28" t="s">
        <v>79</v>
      </c>
      <c r="S56" s="28" t="s">
        <v>80</v>
      </c>
      <c r="T56" s="28" t="s">
        <v>81</v>
      </c>
      <c r="U56" s="28" t="s">
        <v>87</v>
      </c>
      <c r="V56" s="28" t="s">
        <v>39</v>
      </c>
    </row>
    <row r="57" spans="1:24" ht="42" customHeight="1" thickBot="1" x14ac:dyDescent="0.25">
      <c r="A57" s="11" t="s">
        <v>45</v>
      </c>
      <c r="B57" s="12" t="s">
        <v>58</v>
      </c>
      <c r="C57" s="12" t="s">
        <v>42</v>
      </c>
      <c r="D57" s="12" t="s">
        <v>43</v>
      </c>
      <c r="E57" s="13" t="s">
        <v>39</v>
      </c>
      <c r="G57" s="20" t="s">
        <v>5</v>
      </c>
      <c r="H57" s="23" t="s">
        <v>102</v>
      </c>
      <c r="I57" s="20" t="s">
        <v>113</v>
      </c>
      <c r="J57" s="159">
        <v>3.2000000000000001E-2</v>
      </c>
      <c r="K57" s="24">
        <f t="shared" si="13"/>
        <v>12.8</v>
      </c>
      <c r="L57" s="24">
        <f t="shared" si="14"/>
        <v>9.6</v>
      </c>
      <c r="M57" s="3" t="str">
        <f t="shared" si="16"/>
        <v>Match</v>
      </c>
      <c r="N57" s="20" t="s">
        <v>118</v>
      </c>
      <c r="P57" s="20" t="s">
        <v>112</v>
      </c>
      <c r="Q57" s="20" t="s">
        <v>5</v>
      </c>
      <c r="R57" s="26">
        <f>SUM(T29)</f>
        <v>2.5490196078431376E-5</v>
      </c>
      <c r="S57" s="26">
        <f>R57*$B$7</f>
        <v>1.2745098039215687E-4</v>
      </c>
      <c r="T57" s="26">
        <f t="shared" ref="T57:T58" si="17">S57*8760/2000</f>
        <v>5.5823529411764704E-4</v>
      </c>
      <c r="U57" s="72" t="str">
        <f>IF($D$40=T57,"Match","")</f>
        <v/>
      </c>
      <c r="V57" s="20" t="s">
        <v>129</v>
      </c>
    </row>
    <row r="58" spans="1:24" x14ac:dyDescent="0.2">
      <c r="A58" s="16" t="str">
        <f>IF(B58="","","HCl")</f>
        <v>HCl</v>
      </c>
      <c r="B58" s="132">
        <f>IF($B$6="Nat Gas + Fuel Oil + Waste Oil",$J$62,"")</f>
        <v>2.1000000000000001E-4</v>
      </c>
      <c r="C58" s="137">
        <f>IFERROR(B58*$B$3,"")</f>
        <v>8.4000000000000005E-2</v>
      </c>
      <c r="D58" s="137">
        <f>IFERROR(B58*$B$4/2000,"")</f>
        <v>6.3E-2</v>
      </c>
      <c r="E58" s="120" t="s">
        <v>172</v>
      </c>
      <c r="G58" s="20" t="s">
        <v>5</v>
      </c>
      <c r="H58" s="23" t="s">
        <v>102</v>
      </c>
      <c r="I58" s="20" t="s">
        <v>98</v>
      </c>
      <c r="J58" s="159">
        <v>3.2000000000000001E-2</v>
      </c>
      <c r="K58" s="24">
        <f t="shared" si="13"/>
        <v>12.8</v>
      </c>
      <c r="L58" s="24">
        <f t="shared" si="14"/>
        <v>9.6</v>
      </c>
      <c r="M58" s="3" t="str">
        <f t="shared" si="16"/>
        <v>Match</v>
      </c>
      <c r="N58" s="20" t="s">
        <v>118</v>
      </c>
      <c r="P58" s="49" t="s">
        <v>113</v>
      </c>
      <c r="Q58" s="49" t="s">
        <v>5</v>
      </c>
      <c r="R58" s="47">
        <f>SUM(T30:T40)</f>
        <v>1.8941592857142861E-4</v>
      </c>
      <c r="S58" s="47">
        <f>R58*$B$7</f>
        <v>9.4707964285714304E-4</v>
      </c>
      <c r="T58" s="47">
        <f t="shared" si="17"/>
        <v>4.1482088357142864E-3</v>
      </c>
      <c r="U58" s="74" t="str">
        <f>IF($D$40=T58,"Match","")</f>
        <v>Match</v>
      </c>
      <c r="V58" s="20" t="s">
        <v>129</v>
      </c>
    </row>
    <row r="59" spans="1:24" x14ac:dyDescent="0.2">
      <c r="A59" s="141" t="s">
        <v>49</v>
      </c>
      <c r="B59" s="142">
        <f t="shared" ref="B59:B82" si="18">IF($B$5="Drum Mix",IF($B$6="Natural Gas Only",K68,IF($B$6="Nat Gas &amp; Fuel Oil",L68,M68)),IF($B$6="Natural Gas Only",H68,IF($B$6="Nat Gas &amp; Fuel Oil",I68,J68)))+O68+Q68</f>
        <v>1.2999999999999999E-3</v>
      </c>
      <c r="C59" s="138">
        <f t="shared" ref="C59:C82" si="19">IFERROR(B59*$B$3+IF($B$6="Natural Gas Only",T68,X68),"")</f>
        <v>0.52</v>
      </c>
      <c r="D59" s="138">
        <f t="shared" ref="D59:D82" si="20">IFERROR(B59*$B$4/2000+IF($B$6="Natural Gas Only",U68,Y68),"")</f>
        <v>0.39</v>
      </c>
      <c r="E59" s="217" t="s">
        <v>173</v>
      </c>
      <c r="P59" s="3"/>
      <c r="Q59" s="3"/>
      <c r="R59" s="3"/>
      <c r="S59" s="3"/>
      <c r="T59" s="3"/>
      <c r="U59" s="3"/>
      <c r="V59" s="3"/>
    </row>
    <row r="60" spans="1:24" ht="13.5" customHeight="1" x14ac:dyDescent="0.2">
      <c r="A60" s="14" t="s">
        <v>50</v>
      </c>
      <c r="B60" s="139">
        <f t="shared" si="18"/>
        <v>2.5999999999999998E-5</v>
      </c>
      <c r="C60" s="139">
        <f t="shared" si="19"/>
        <v>1.04E-2</v>
      </c>
      <c r="D60" s="139">
        <f t="shared" si="20"/>
        <v>7.7999999999999996E-3</v>
      </c>
      <c r="E60" s="218"/>
      <c r="G60" s="27" t="s">
        <v>122</v>
      </c>
      <c r="J60" s="27" t="s">
        <v>115</v>
      </c>
      <c r="R60" s="27" t="s">
        <v>131</v>
      </c>
    </row>
    <row r="61" spans="1:24" ht="13.5" thickBot="1" x14ac:dyDescent="0.25">
      <c r="A61" s="15" t="s">
        <v>12</v>
      </c>
      <c r="B61" s="138">
        <f t="shared" si="18"/>
        <v>3.9606239238424524E-4</v>
      </c>
      <c r="C61" s="138">
        <f t="shared" si="19"/>
        <v>0.1584249569536981</v>
      </c>
      <c r="D61" s="138">
        <f t="shared" si="20"/>
        <v>0.11881871771527358</v>
      </c>
      <c r="E61" s="218"/>
      <c r="G61" s="28" t="s">
        <v>56</v>
      </c>
      <c r="H61" s="28" t="s">
        <v>55</v>
      </c>
      <c r="I61" s="28" t="s">
        <v>59</v>
      </c>
      <c r="J61" s="28" t="s">
        <v>96</v>
      </c>
      <c r="K61" s="28" t="s">
        <v>80</v>
      </c>
      <c r="L61" s="28" t="s">
        <v>81</v>
      </c>
      <c r="M61" s="28" t="s">
        <v>87</v>
      </c>
      <c r="N61" s="28" t="s">
        <v>39</v>
      </c>
      <c r="P61" s="28" t="s">
        <v>132</v>
      </c>
      <c r="Q61" s="28" t="s">
        <v>56</v>
      </c>
      <c r="R61" s="28" t="s">
        <v>162</v>
      </c>
      <c r="S61" s="28" t="s">
        <v>80</v>
      </c>
      <c r="T61" s="28" t="s">
        <v>81</v>
      </c>
      <c r="U61" s="28" t="s">
        <v>87</v>
      </c>
    </row>
    <row r="62" spans="1:24" x14ac:dyDescent="0.2">
      <c r="A62" s="14" t="s">
        <v>163</v>
      </c>
      <c r="B62" s="139">
        <f t="shared" si="18"/>
        <v>9.964066104418424E-7</v>
      </c>
      <c r="C62" s="139">
        <f t="shared" si="19"/>
        <v>3.9856264417673695E-4</v>
      </c>
      <c r="D62" s="139">
        <f t="shared" si="20"/>
        <v>2.989219831325527E-4</v>
      </c>
      <c r="E62" s="218"/>
      <c r="G62" s="20" t="s">
        <v>119</v>
      </c>
      <c r="H62" s="20" t="s">
        <v>102</v>
      </c>
      <c r="I62" s="20" t="s">
        <v>98</v>
      </c>
      <c r="J62" s="159">
        <v>2.1000000000000001E-4</v>
      </c>
      <c r="K62" s="24">
        <f>J62*$B$3</f>
        <v>8.4000000000000005E-2</v>
      </c>
      <c r="L62" s="24">
        <f>J62*$B$4/2000</f>
        <v>6.3E-2</v>
      </c>
      <c r="M62" s="3" t="str">
        <f>IF($D$37=L62,"Match","")</f>
        <v/>
      </c>
      <c r="N62" s="20" t="s">
        <v>118</v>
      </c>
      <c r="P62" s="56" t="s">
        <v>130</v>
      </c>
      <c r="Q62" s="56" t="s">
        <v>133</v>
      </c>
      <c r="R62" s="71">
        <f>0.00141*(-$H$1)*EXP(0.0251*($H$2+460)-20.43)</f>
        <v>3.4093703181979173E-4</v>
      </c>
      <c r="S62" s="33">
        <f>R62*$B$3</f>
        <v>0.13637481272791668</v>
      </c>
      <c r="T62" s="33">
        <f>R62*$B$4/2000</f>
        <v>0.10228110954593753</v>
      </c>
      <c r="U62" s="56" t="s">
        <v>134</v>
      </c>
    </row>
    <row r="63" spans="1:24" x14ac:dyDescent="0.2">
      <c r="A63" s="15" t="s">
        <v>164</v>
      </c>
      <c r="B63" s="138">
        <f t="shared" si="18"/>
        <v>6.7906919160475414E-6</v>
      </c>
      <c r="C63" s="138">
        <f t="shared" si="19"/>
        <v>2.7162767664190165E-3</v>
      </c>
      <c r="D63" s="138">
        <f t="shared" si="20"/>
        <v>2.0372075748142622E-3</v>
      </c>
      <c r="E63" s="218"/>
      <c r="G63" s="20"/>
      <c r="H63" s="20"/>
      <c r="I63" s="20"/>
      <c r="K63" s="24"/>
      <c r="L63" s="24"/>
      <c r="M63" s="3"/>
      <c r="N63" s="20"/>
      <c r="P63" s="49" t="s">
        <v>71</v>
      </c>
      <c r="Q63" s="20" t="s">
        <v>133</v>
      </c>
      <c r="R63" s="47">
        <f>0.00105*(-$H$1)*EXP(0.0251*($H$2+460)-20.43)</f>
        <v>2.5388927901473854E-4</v>
      </c>
      <c r="S63" s="48">
        <f>R63*$B$3</f>
        <v>0.10155571160589541</v>
      </c>
      <c r="T63" s="48">
        <f>R63*$B$4/2000</f>
        <v>7.6166783704421565E-2</v>
      </c>
      <c r="U63" s="49" t="s">
        <v>134</v>
      </c>
    </row>
    <row r="64" spans="1:24" x14ac:dyDescent="0.2">
      <c r="A64" s="14" t="s">
        <v>165</v>
      </c>
      <c r="B64" s="139">
        <f t="shared" si="18"/>
        <v>2.4905329274779119E-6</v>
      </c>
      <c r="C64" s="139">
        <f t="shared" si="19"/>
        <v>9.9621317099116472E-4</v>
      </c>
      <c r="D64" s="139">
        <f t="shared" si="20"/>
        <v>7.4715987824337359E-4</v>
      </c>
      <c r="E64" s="218"/>
      <c r="G64" s="20"/>
      <c r="H64" s="20"/>
      <c r="I64" s="20"/>
      <c r="K64" s="24"/>
      <c r="L64" s="24"/>
      <c r="M64" s="3"/>
      <c r="N64" s="20"/>
      <c r="P64" s="49"/>
      <c r="Q64" s="20"/>
      <c r="R64" s="47"/>
      <c r="S64" s="48"/>
      <c r="T64" s="48"/>
      <c r="U64" s="49"/>
    </row>
    <row r="65" spans="1:25" x14ac:dyDescent="0.2">
      <c r="A65" s="15" t="s">
        <v>166</v>
      </c>
      <c r="B65" s="138">
        <f t="shared" si="18"/>
        <v>4.9620120690640513E-7</v>
      </c>
      <c r="C65" s="138">
        <f t="shared" si="19"/>
        <v>1.9848048276256206E-4</v>
      </c>
      <c r="D65" s="138">
        <f t="shared" si="20"/>
        <v>1.4886036207192155E-4</v>
      </c>
      <c r="E65" s="218"/>
      <c r="G65" s="27"/>
      <c r="H65" s="223" t="s">
        <v>153</v>
      </c>
      <c r="I65" s="224"/>
      <c r="J65" s="224"/>
      <c r="K65" s="224"/>
      <c r="L65" s="224"/>
      <c r="M65" s="224"/>
      <c r="R65" s="230" t="s">
        <v>158</v>
      </c>
      <c r="S65" s="221"/>
      <c r="T65" s="221"/>
      <c r="U65" s="221"/>
      <c r="V65" s="221"/>
      <c r="W65" s="221"/>
      <c r="X65" s="221"/>
      <c r="Y65" s="231"/>
    </row>
    <row r="66" spans="1:25" x14ac:dyDescent="0.2">
      <c r="A66" s="14" t="s">
        <v>167</v>
      </c>
      <c r="B66" s="139">
        <f t="shared" si="18"/>
        <v>3.4267798687589282E-6</v>
      </c>
      <c r="C66" s="139">
        <f t="shared" si="19"/>
        <v>1.3707119475035712E-3</v>
      </c>
      <c r="D66" s="139">
        <f t="shared" si="20"/>
        <v>1.0280339606276786E-3</v>
      </c>
      <c r="E66" s="218"/>
      <c r="G66" s="27"/>
      <c r="H66" s="215" t="s">
        <v>156</v>
      </c>
      <c r="I66" s="221"/>
      <c r="J66" s="216"/>
      <c r="K66" s="223" t="s">
        <v>159</v>
      </c>
      <c r="L66" s="224"/>
      <c r="M66" s="224"/>
      <c r="N66" s="230" t="s">
        <v>161</v>
      </c>
      <c r="O66" s="231"/>
      <c r="P66" s="230" t="s">
        <v>71</v>
      </c>
      <c r="Q66" s="231"/>
      <c r="R66" s="230" t="s">
        <v>112</v>
      </c>
      <c r="S66" s="221"/>
      <c r="T66" s="221"/>
      <c r="U66" s="216"/>
      <c r="V66" s="215" t="s">
        <v>113</v>
      </c>
      <c r="W66" s="221"/>
      <c r="X66" s="221"/>
      <c r="Y66" s="231"/>
    </row>
    <row r="67" spans="1:25" ht="13.5" thickBot="1" x14ac:dyDescent="0.25">
      <c r="A67" s="15" t="s">
        <v>168</v>
      </c>
      <c r="B67" s="138">
        <f t="shared" si="18"/>
        <v>4.5748430085322416E-6</v>
      </c>
      <c r="C67" s="138">
        <f t="shared" si="19"/>
        <v>1.8299372034128966E-3</v>
      </c>
      <c r="D67" s="138">
        <f t="shared" si="20"/>
        <v>1.3724529025596725E-3</v>
      </c>
      <c r="E67" s="218"/>
      <c r="G67" s="41" t="s">
        <v>44</v>
      </c>
      <c r="H67" s="45" t="s">
        <v>112</v>
      </c>
      <c r="I67" s="28" t="s">
        <v>113</v>
      </c>
      <c r="J67" s="41" t="s">
        <v>98</v>
      </c>
      <c r="K67" s="45" t="s">
        <v>112</v>
      </c>
      <c r="L67" s="28" t="s">
        <v>113</v>
      </c>
      <c r="M67" s="82" t="s">
        <v>98</v>
      </c>
      <c r="N67" s="83" t="s">
        <v>160</v>
      </c>
      <c r="O67" s="82" t="s">
        <v>96</v>
      </c>
      <c r="P67" s="83" t="s">
        <v>160</v>
      </c>
      <c r="Q67" s="82" t="s">
        <v>96</v>
      </c>
      <c r="R67" s="83" t="s">
        <v>126</v>
      </c>
      <c r="S67" s="103" t="s">
        <v>79</v>
      </c>
      <c r="T67" s="104" t="s">
        <v>80</v>
      </c>
      <c r="U67" s="41" t="s">
        <v>67</v>
      </c>
      <c r="V67" s="45" t="s">
        <v>127</v>
      </c>
      <c r="W67" s="103" t="s">
        <v>79</v>
      </c>
      <c r="X67" s="104" t="s">
        <v>80</v>
      </c>
      <c r="Y67" s="41" t="s">
        <v>67</v>
      </c>
    </row>
    <row r="68" spans="1:25" x14ac:dyDescent="0.2">
      <c r="A68" s="14" t="s">
        <v>35</v>
      </c>
      <c r="B68" s="139">
        <f t="shared" si="18"/>
        <v>2.5627599538003819E-4</v>
      </c>
      <c r="C68" s="139">
        <f t="shared" si="19"/>
        <v>0.10251039815201528</v>
      </c>
      <c r="D68" s="139">
        <f t="shared" si="20"/>
        <v>7.6882798614011469E-2</v>
      </c>
      <c r="E68" s="218"/>
      <c r="G68" s="1" t="s">
        <v>49</v>
      </c>
      <c r="H68" s="164">
        <v>3.2000000000000003E-4</v>
      </c>
      <c r="I68" s="162">
        <f>H68</f>
        <v>3.2000000000000003E-4</v>
      </c>
      <c r="J68" s="182">
        <v>3.2000000000000003E-4</v>
      </c>
      <c r="K68" s="43"/>
      <c r="L68" s="3"/>
      <c r="M68" s="183">
        <v>1.2999999999999999E-3</v>
      </c>
      <c r="N68" s="92"/>
      <c r="O68" s="84"/>
      <c r="P68" s="89"/>
      <c r="Q68" s="84"/>
      <c r="R68" s="85"/>
      <c r="S68" s="105"/>
      <c r="T68" s="106"/>
      <c r="U68" s="46"/>
      <c r="V68" s="43"/>
      <c r="W68" s="105"/>
      <c r="X68" s="106"/>
      <c r="Y68" s="84"/>
    </row>
    <row r="69" spans="1:25" x14ac:dyDescent="0.2">
      <c r="A69" s="15" t="s">
        <v>20</v>
      </c>
      <c r="B69" s="138">
        <f t="shared" si="18"/>
        <v>3.1877480036165071E-3</v>
      </c>
      <c r="C69" s="138">
        <f t="shared" si="19"/>
        <v>1.2752242014466029</v>
      </c>
      <c r="D69" s="138">
        <f t="shared" si="20"/>
        <v>0.95687190108495213</v>
      </c>
      <c r="E69" s="218"/>
      <c r="G69" s="1" t="s">
        <v>50</v>
      </c>
      <c r="H69" s="43"/>
      <c r="I69" s="3"/>
      <c r="J69" s="46"/>
      <c r="K69" s="43"/>
      <c r="L69" s="3"/>
      <c r="M69" s="184">
        <v>2.5999999999999998E-5</v>
      </c>
      <c r="N69" s="92"/>
      <c r="O69" s="84"/>
      <c r="P69" s="89"/>
      <c r="Q69" s="84"/>
      <c r="R69" s="85"/>
      <c r="S69" s="105"/>
      <c r="T69" s="106"/>
      <c r="U69" s="46"/>
      <c r="V69" s="43"/>
      <c r="W69" s="105"/>
      <c r="X69" s="106"/>
      <c r="Y69" s="84"/>
    </row>
    <row r="70" spans="1:25" x14ac:dyDescent="0.2">
      <c r="A70" s="14" t="s">
        <v>94</v>
      </c>
      <c r="B70" s="139">
        <f t="shared" si="18"/>
        <v>9.3842510767706963E-4</v>
      </c>
      <c r="C70" s="139">
        <f t="shared" si="19"/>
        <v>0.37537004307082783</v>
      </c>
      <c r="D70" s="139">
        <f t="shared" si="20"/>
        <v>0.28152753230312089</v>
      </c>
      <c r="E70" s="218"/>
      <c r="G70" s="1" t="s">
        <v>12</v>
      </c>
      <c r="H70" s="164">
        <v>2.7999999999999998E-4</v>
      </c>
      <c r="I70" s="162">
        <f t="shared" ref="I70:I78" si="21">H70</f>
        <v>2.7999999999999998E-4</v>
      </c>
      <c r="J70" s="182">
        <v>2.7999999999999998E-4</v>
      </c>
      <c r="K70" s="164">
        <v>3.8999999999999999E-4</v>
      </c>
      <c r="L70" s="162">
        <v>3.8999999999999999E-4</v>
      </c>
      <c r="M70" s="183">
        <v>3.8999999999999999E-4</v>
      </c>
      <c r="N70" s="175">
        <v>5.1999999999999995E-4</v>
      </c>
      <c r="O70" s="87">
        <f>$S$46*N70</f>
        <v>2.1626530585788774E-6</v>
      </c>
      <c r="P70" s="175">
        <v>3.2000000000000003E-4</v>
      </c>
      <c r="Q70" s="87">
        <f>$S$47*P70</f>
        <v>3.8997393256663849E-6</v>
      </c>
      <c r="R70" s="85"/>
      <c r="S70" s="105"/>
      <c r="T70" s="106"/>
      <c r="U70" s="46"/>
      <c r="V70" s="43"/>
      <c r="W70" s="105"/>
      <c r="X70" s="106"/>
      <c r="Y70" s="84"/>
    </row>
    <row r="71" spans="1:25" x14ac:dyDescent="0.2">
      <c r="A71" s="15" t="s">
        <v>149</v>
      </c>
      <c r="B71" s="138">
        <f t="shared" si="18"/>
        <v>4.0112639792129742E-5</v>
      </c>
      <c r="C71" s="138">
        <f t="shared" si="19"/>
        <v>1.6045055916851896E-2</v>
      </c>
      <c r="D71" s="138">
        <f t="shared" si="20"/>
        <v>1.2033791937638922E-2</v>
      </c>
      <c r="E71" s="218"/>
      <c r="G71" s="1" t="s">
        <v>163</v>
      </c>
      <c r="H71" s="43"/>
      <c r="I71" s="3"/>
      <c r="J71" s="46"/>
      <c r="K71" s="43"/>
      <c r="L71" s="3"/>
      <c r="M71" s="84"/>
      <c r="N71" s="176">
        <v>9.5999999999999989E-5</v>
      </c>
      <c r="O71" s="87">
        <f t="shared" ref="O71:O76" si="22">$S$46*N71</f>
        <v>3.9925902619917737E-7</v>
      </c>
      <c r="P71" s="176">
        <v>4.8999999999999998E-5</v>
      </c>
      <c r="Q71" s="87">
        <f t="shared" ref="Q71:Q75" si="23">$S$47*P71</f>
        <v>5.9714758424266509E-7</v>
      </c>
      <c r="R71" s="85"/>
      <c r="S71" s="105"/>
      <c r="T71" s="106"/>
      <c r="U71" s="46"/>
      <c r="V71" s="43"/>
      <c r="W71" s="105"/>
      <c r="X71" s="106"/>
      <c r="Y71" s="84"/>
    </row>
    <row r="72" spans="1:25" x14ac:dyDescent="0.2">
      <c r="A72" s="14" t="s">
        <v>152</v>
      </c>
      <c r="B72" s="139">
        <f t="shared" si="18"/>
        <v>4.8000000000000001E-5</v>
      </c>
      <c r="C72" s="139">
        <f t="shared" si="19"/>
        <v>1.9200000000000002E-2</v>
      </c>
      <c r="D72" s="139">
        <f t="shared" si="20"/>
        <v>1.44E-2</v>
      </c>
      <c r="E72" s="218"/>
      <c r="G72" s="1" t="s">
        <v>164</v>
      </c>
      <c r="H72" s="43"/>
      <c r="I72" s="3"/>
      <c r="J72" s="46"/>
      <c r="K72" s="43"/>
      <c r="L72" s="3"/>
      <c r="M72" s="84"/>
      <c r="N72" s="175">
        <v>4.8999999999999998E-4</v>
      </c>
      <c r="O72" s="87">
        <f t="shared" si="22"/>
        <v>2.0378846128916348E-6</v>
      </c>
      <c r="P72" s="175">
        <v>3.8999999999999999E-4</v>
      </c>
      <c r="Q72" s="87">
        <f t="shared" si="23"/>
        <v>4.7528073031559061E-6</v>
      </c>
      <c r="R72" s="85"/>
      <c r="S72" s="105"/>
      <c r="T72" s="106"/>
      <c r="U72" s="46"/>
      <c r="V72" s="43"/>
      <c r="W72" s="105"/>
      <c r="X72" s="106"/>
      <c r="Y72" s="84"/>
    </row>
    <row r="73" spans="1:25" x14ac:dyDescent="0.2">
      <c r="A73" s="15" t="s">
        <v>60</v>
      </c>
      <c r="B73" s="138">
        <f t="shared" si="18"/>
        <v>3.2904050560310115E-8</v>
      </c>
      <c r="C73" s="138">
        <f t="shared" si="19"/>
        <v>1.3161620224124046E-5</v>
      </c>
      <c r="D73" s="138">
        <f t="shared" si="20"/>
        <v>9.8712151680930351E-6</v>
      </c>
      <c r="E73" s="218"/>
      <c r="G73" s="1" t="s">
        <v>165</v>
      </c>
      <c r="H73" s="43"/>
      <c r="I73" s="3"/>
      <c r="J73" s="46"/>
      <c r="K73" s="43"/>
      <c r="L73" s="3"/>
      <c r="M73" s="84"/>
      <c r="N73" s="175">
        <v>1.2999999999999999E-4</v>
      </c>
      <c r="O73" s="87">
        <f t="shared" si="22"/>
        <v>5.4066326464471935E-7</v>
      </c>
      <c r="P73" s="175">
        <v>1.6000000000000001E-4</v>
      </c>
      <c r="Q73" s="87">
        <f t="shared" si="23"/>
        <v>1.9498696628331924E-6</v>
      </c>
      <c r="R73" s="85"/>
      <c r="S73" s="105"/>
      <c r="T73" s="106"/>
      <c r="U73" s="46"/>
      <c r="V73" s="43"/>
      <c r="W73" s="105"/>
      <c r="X73" s="106"/>
      <c r="Y73" s="84"/>
    </row>
    <row r="74" spans="1:25" x14ac:dyDescent="0.2">
      <c r="A74" s="14" t="s">
        <v>150</v>
      </c>
      <c r="B74" s="139">
        <f t="shared" si="18"/>
        <v>1.2999999999999999E-4</v>
      </c>
      <c r="C74" s="139">
        <f t="shared" si="19"/>
        <v>5.1999999999999998E-2</v>
      </c>
      <c r="D74" s="139">
        <f t="shared" si="20"/>
        <v>3.9E-2</v>
      </c>
      <c r="E74" s="218"/>
      <c r="G74" s="1" t="s">
        <v>166</v>
      </c>
      <c r="H74" s="43"/>
      <c r="I74" s="3"/>
      <c r="J74" s="46"/>
      <c r="K74" s="43"/>
      <c r="L74" s="3"/>
      <c r="M74" s="84"/>
      <c r="N74" s="177">
        <v>2.1000000000000002E-6</v>
      </c>
      <c r="O74" s="87">
        <f t="shared" si="22"/>
        <v>8.7337911981070074E-9</v>
      </c>
      <c r="P74" s="176">
        <v>4.0000000000000003E-5</v>
      </c>
      <c r="Q74" s="87">
        <f t="shared" si="23"/>
        <v>4.8746741570829811E-7</v>
      </c>
      <c r="R74" s="85"/>
      <c r="S74" s="105"/>
      <c r="T74" s="106"/>
      <c r="U74" s="46"/>
      <c r="V74" s="43"/>
      <c r="W74" s="105"/>
      <c r="X74" s="106"/>
      <c r="Y74" s="84"/>
    </row>
    <row r="75" spans="1:25" x14ac:dyDescent="0.2">
      <c r="A75" s="15" t="s">
        <v>151</v>
      </c>
      <c r="B75" s="138">
        <f t="shared" si="18"/>
        <v>1.6000000000000001E-4</v>
      </c>
      <c r="C75" s="138">
        <f t="shared" si="19"/>
        <v>6.4000000000000001E-2</v>
      </c>
      <c r="D75" s="138">
        <f t="shared" si="20"/>
        <v>4.8000000000000008E-2</v>
      </c>
      <c r="E75" s="218"/>
      <c r="G75" s="1" t="s">
        <v>167</v>
      </c>
      <c r="H75" s="43"/>
      <c r="I75" s="3"/>
      <c r="J75" s="46"/>
      <c r="K75" s="43"/>
      <c r="L75" s="3"/>
      <c r="M75" s="84"/>
      <c r="N75" s="175">
        <v>1.4999999999999999E-4</v>
      </c>
      <c r="O75" s="87">
        <f t="shared" si="22"/>
        <v>6.238422284362147E-7</v>
      </c>
      <c r="P75" s="175">
        <v>2.3000000000000001E-4</v>
      </c>
      <c r="Q75" s="87">
        <f t="shared" si="23"/>
        <v>2.8029376403227137E-6</v>
      </c>
      <c r="R75" s="85"/>
      <c r="S75" s="105"/>
      <c r="T75" s="106"/>
      <c r="U75" s="46"/>
      <c r="V75" s="43"/>
      <c r="W75" s="105"/>
      <c r="X75" s="106"/>
      <c r="Y75" s="84"/>
    </row>
    <row r="76" spans="1:25" x14ac:dyDescent="0.2">
      <c r="A76" s="14" t="s">
        <v>61</v>
      </c>
      <c r="B76" s="139">
        <f t="shared" si="18"/>
        <v>9.6168422904516031E-7</v>
      </c>
      <c r="C76" s="139">
        <f t="shared" si="19"/>
        <v>3.8467369161806412E-4</v>
      </c>
      <c r="D76" s="139">
        <f t="shared" si="20"/>
        <v>2.8850526871354809E-4</v>
      </c>
      <c r="E76" s="218"/>
      <c r="G76" s="1" t="s">
        <v>168</v>
      </c>
      <c r="H76" s="43"/>
      <c r="I76" s="3"/>
      <c r="J76" s="46"/>
      <c r="K76" s="43"/>
      <c r="L76" s="3"/>
      <c r="M76" s="84"/>
      <c r="N76" s="178">
        <v>1.1000000000000001E-3</v>
      </c>
      <c r="O76" s="87">
        <f t="shared" si="22"/>
        <v>4.5748430085322416E-6</v>
      </c>
      <c r="P76" s="90"/>
      <c r="Q76" s="87"/>
      <c r="R76" s="85"/>
      <c r="S76" s="105"/>
      <c r="T76" s="106"/>
      <c r="U76" s="46"/>
      <c r="V76" s="43"/>
      <c r="W76" s="105"/>
      <c r="X76" s="106"/>
      <c r="Y76" s="84"/>
    </row>
    <row r="77" spans="1:25" x14ac:dyDescent="0.2">
      <c r="A77" s="15" t="s">
        <v>169</v>
      </c>
      <c r="B77" s="138">
        <f t="shared" si="18"/>
        <v>3.2023901059725688E-7</v>
      </c>
      <c r="C77" s="138">
        <f t="shared" si="19"/>
        <v>1.2809560423890275E-4</v>
      </c>
      <c r="D77" s="138">
        <f t="shared" si="20"/>
        <v>9.6071703179177059E-5</v>
      </c>
      <c r="E77" s="218"/>
      <c r="G77" s="1" t="s">
        <v>35</v>
      </c>
      <c r="H77" s="164">
        <v>2.2000000000000001E-3</v>
      </c>
      <c r="I77" s="162">
        <f t="shared" si="21"/>
        <v>2.2000000000000001E-3</v>
      </c>
      <c r="J77" s="182">
        <v>2.2000000000000001E-3</v>
      </c>
      <c r="K77" s="164">
        <v>2.4000000000000001E-4</v>
      </c>
      <c r="L77" s="162">
        <v>2.4000000000000001E-4</v>
      </c>
      <c r="M77" s="183">
        <v>2.4000000000000001E-4</v>
      </c>
      <c r="N77" s="178">
        <v>2.8000000000000004E-3</v>
      </c>
      <c r="O77" s="87">
        <f>$S$46*N77</f>
        <v>1.1645054930809343E-5</v>
      </c>
      <c r="P77" s="175">
        <v>3.7999999999999997E-4</v>
      </c>
      <c r="Q77" s="87">
        <f t="shared" ref="Q77:Q80" si="24">$S$47*P77</f>
        <v>4.6309404492288307E-6</v>
      </c>
      <c r="R77" s="85"/>
      <c r="S77" s="105"/>
      <c r="T77" s="106"/>
      <c r="U77" s="46"/>
      <c r="V77" s="43"/>
      <c r="W77" s="105"/>
      <c r="X77" s="106"/>
      <c r="Y77" s="84"/>
    </row>
    <row r="78" spans="1:25" x14ac:dyDescent="0.2">
      <c r="A78" s="14" t="s">
        <v>25</v>
      </c>
      <c r="B78" s="139">
        <f t="shared" si="18"/>
        <v>2.9162895361415854E-3</v>
      </c>
      <c r="C78" s="139">
        <f t="shared" si="19"/>
        <v>1.1665158144566341</v>
      </c>
      <c r="D78" s="139">
        <f t="shared" si="20"/>
        <v>0.87488686084247558</v>
      </c>
      <c r="E78" s="218"/>
      <c r="G78" s="1" t="s">
        <v>20</v>
      </c>
      <c r="H78" s="164">
        <v>7.3999999999999999E-4</v>
      </c>
      <c r="I78" s="162">
        <f t="shared" si="21"/>
        <v>7.3999999999999999E-4</v>
      </c>
      <c r="J78" s="182">
        <v>7.3999999999999999E-4</v>
      </c>
      <c r="K78" s="164">
        <v>3.0999999999999999E-3</v>
      </c>
      <c r="L78" s="162">
        <v>3.0999999999999999E-3</v>
      </c>
      <c r="M78" s="183">
        <v>3.0999999999999999E-3</v>
      </c>
      <c r="N78" s="175">
        <v>8.7999999999999992E-4</v>
      </c>
      <c r="O78" s="87">
        <f>$S$46*N78</f>
        <v>3.6598744068257928E-6</v>
      </c>
      <c r="P78" s="178">
        <v>6.8999999999999999E-3</v>
      </c>
      <c r="Q78" s="87">
        <f t="shared" si="24"/>
        <v>8.4088129209681405E-5</v>
      </c>
      <c r="R78" s="93">
        <f>R29</f>
        <v>2.6000000000000001E-8</v>
      </c>
      <c r="S78" s="107">
        <f>R78*1000000/$L$2</f>
        <v>2.5490196078431376E-5</v>
      </c>
      <c r="T78" s="108">
        <f>S78*$B$7</f>
        <v>1.2745098039215687E-4</v>
      </c>
      <c r="U78" s="51">
        <f>T78*8760/2000</f>
        <v>5.5823529411764704E-4</v>
      </c>
      <c r="V78" s="78">
        <f>R30</f>
        <v>3.4999999999999999E-6</v>
      </c>
      <c r="W78" s="107">
        <f>V78*1000/$L$4</f>
        <v>2.5000000000000001E-5</v>
      </c>
      <c r="X78" s="108">
        <f>W78*$B$7</f>
        <v>1.25E-4</v>
      </c>
      <c r="Y78" s="87">
        <f>X78*8760/2000</f>
        <v>5.4750000000000003E-4</v>
      </c>
    </row>
    <row r="79" spans="1:25" x14ac:dyDescent="0.2">
      <c r="A79" s="15" t="s">
        <v>170</v>
      </c>
      <c r="B79" s="138">
        <f t="shared" si="18"/>
        <v>5.406632646447194E-8</v>
      </c>
      <c r="C79" s="138">
        <f t="shared" si="19"/>
        <v>2.1626530585788775E-5</v>
      </c>
      <c r="D79" s="138">
        <f t="shared" si="20"/>
        <v>1.621989793934158E-5</v>
      </c>
      <c r="E79" s="218"/>
      <c r="G79" s="1" t="s">
        <v>94</v>
      </c>
      <c r="H79" s="43"/>
      <c r="I79" s="3"/>
      <c r="J79" s="46"/>
      <c r="K79" s="164">
        <v>9.2000000000000003E-4</v>
      </c>
      <c r="L79" s="162">
        <v>9.2000000000000003E-4</v>
      </c>
      <c r="M79" s="183">
        <v>9.2000000000000003E-4</v>
      </c>
      <c r="N79" s="178">
        <v>1.5E-3</v>
      </c>
      <c r="O79" s="87">
        <f>$S$46*N79</f>
        <v>6.2384222843621475E-6</v>
      </c>
      <c r="P79" s="178">
        <v>1E-3</v>
      </c>
      <c r="Q79" s="87">
        <f t="shared" si="24"/>
        <v>1.2186685392707451E-5</v>
      </c>
      <c r="R79" s="85"/>
      <c r="S79" s="105"/>
      <c r="T79" s="106"/>
      <c r="U79" s="46"/>
      <c r="V79" s="78"/>
      <c r="W79" s="107"/>
      <c r="X79" s="108"/>
      <c r="Y79" s="87"/>
    </row>
    <row r="80" spans="1:25" x14ac:dyDescent="0.2">
      <c r="A80" s="14" t="s">
        <v>171</v>
      </c>
      <c r="B80" s="139">
        <f t="shared" si="18"/>
        <v>4.1425058362671437E-5</v>
      </c>
      <c r="C80" s="139">
        <f t="shared" si="19"/>
        <v>1.6570023345068574E-2</v>
      </c>
      <c r="D80" s="139">
        <f t="shared" si="20"/>
        <v>1.2427517508801431E-2</v>
      </c>
      <c r="E80" s="218"/>
      <c r="G80" s="1" t="s">
        <v>149</v>
      </c>
      <c r="H80" s="43"/>
      <c r="I80" s="3"/>
      <c r="J80" s="46"/>
      <c r="K80" s="185">
        <v>4.0000000000000003E-5</v>
      </c>
      <c r="L80" s="186">
        <v>4.0000000000000003E-5</v>
      </c>
      <c r="M80" s="184">
        <v>4.0000000000000003E-5</v>
      </c>
      <c r="N80" s="176">
        <v>1.8E-5</v>
      </c>
      <c r="O80" s="87">
        <f>$S$46*N80</f>
        <v>7.4861067412345766E-8</v>
      </c>
      <c r="P80" s="177">
        <v>3.1E-6</v>
      </c>
      <c r="Q80" s="87">
        <f t="shared" si="24"/>
        <v>3.7778724717393094E-8</v>
      </c>
      <c r="R80" s="85"/>
      <c r="S80" s="105"/>
      <c r="T80" s="106"/>
      <c r="U80" s="46"/>
      <c r="V80" s="78"/>
      <c r="W80" s="107"/>
      <c r="X80" s="108"/>
      <c r="Y80" s="87"/>
    </row>
    <row r="81" spans="1:25" x14ac:dyDescent="0.2">
      <c r="A81" s="15" t="s">
        <v>36</v>
      </c>
      <c r="B81" s="138">
        <f t="shared" si="18"/>
        <v>1.0273569225503059E-5</v>
      </c>
      <c r="C81" s="138">
        <f t="shared" si="19"/>
        <v>4.1094276902012231E-3</v>
      </c>
      <c r="D81" s="138">
        <f t="shared" si="20"/>
        <v>3.0820707676509178E-3</v>
      </c>
      <c r="E81" s="218"/>
      <c r="G81" s="1" t="s">
        <v>152</v>
      </c>
      <c r="H81" s="43"/>
      <c r="I81" s="3"/>
      <c r="J81" s="46"/>
      <c r="K81" s="185">
        <v>4.8000000000000001E-5</v>
      </c>
      <c r="L81" s="186">
        <v>4.8000000000000001E-5</v>
      </c>
      <c r="M81" s="187">
        <v>4.8000000000000001E-5</v>
      </c>
      <c r="N81" s="92"/>
      <c r="O81" s="84"/>
      <c r="P81" s="89"/>
      <c r="Q81" s="84"/>
      <c r="R81" s="85"/>
      <c r="S81" s="105"/>
      <c r="T81" s="106"/>
      <c r="U81" s="46"/>
      <c r="V81" s="78"/>
      <c r="W81" s="107"/>
      <c r="X81" s="108"/>
      <c r="Y81" s="87"/>
    </row>
    <row r="82" spans="1:25" x14ac:dyDescent="0.2">
      <c r="A82" s="14" t="s">
        <v>62</v>
      </c>
      <c r="B82" s="139">
        <f t="shared" si="18"/>
        <v>2.0000000000000001E-4</v>
      </c>
      <c r="C82" s="139">
        <f t="shared" si="19"/>
        <v>0.08</v>
      </c>
      <c r="D82" s="139">
        <f t="shared" si="20"/>
        <v>0.06</v>
      </c>
      <c r="E82" s="218"/>
      <c r="G82" s="1" t="s">
        <v>60</v>
      </c>
      <c r="H82" s="43"/>
      <c r="I82" s="3"/>
      <c r="J82" s="46"/>
      <c r="K82" s="43"/>
      <c r="L82" s="3"/>
      <c r="M82" s="84"/>
      <c r="N82" s="90"/>
      <c r="O82" s="87"/>
      <c r="P82" s="177">
        <v>2.7E-6</v>
      </c>
      <c r="Q82" s="87">
        <f>$S$47*P82</f>
        <v>3.2904050560310115E-8</v>
      </c>
      <c r="R82" s="85"/>
      <c r="S82" s="105"/>
      <c r="T82" s="106"/>
      <c r="U82" s="46"/>
      <c r="V82" s="43"/>
      <c r="W82" s="105"/>
      <c r="X82" s="106"/>
      <c r="Y82" s="84"/>
    </row>
    <row r="83" spans="1:25" x14ac:dyDescent="0.2">
      <c r="A83" s="150"/>
      <c r="B83" s="151"/>
      <c r="C83" s="151"/>
      <c r="D83" s="151"/>
      <c r="E83" s="117"/>
      <c r="G83" s="1" t="s">
        <v>150</v>
      </c>
      <c r="H83" s="43"/>
      <c r="I83" s="3"/>
      <c r="J83" s="46"/>
      <c r="K83" s="78"/>
      <c r="L83" s="80"/>
      <c r="M83" s="183">
        <v>1.2999999999999999E-4</v>
      </c>
      <c r="N83" s="92"/>
      <c r="O83" s="84"/>
      <c r="P83" s="89"/>
      <c r="Q83" s="84"/>
      <c r="R83" s="85"/>
      <c r="S83" s="105"/>
      <c r="T83" s="106"/>
      <c r="U83" s="46"/>
      <c r="V83" s="78"/>
      <c r="W83" s="107"/>
      <c r="X83" s="108"/>
      <c r="Y83" s="87"/>
    </row>
    <row r="84" spans="1:25" x14ac:dyDescent="0.2">
      <c r="A84" s="152"/>
      <c r="B84" s="153"/>
      <c r="C84" s="153"/>
      <c r="D84" s="153"/>
      <c r="E84" s="118"/>
      <c r="G84" s="1" t="s">
        <v>151</v>
      </c>
      <c r="H84" s="164">
        <v>2.7E-4</v>
      </c>
      <c r="I84" s="162">
        <f>H84</f>
        <v>2.7E-4</v>
      </c>
      <c r="J84" s="182">
        <v>2.7E-4</v>
      </c>
      <c r="K84" s="78"/>
      <c r="L84" s="80"/>
      <c r="M84" s="183">
        <v>1.6000000000000001E-4</v>
      </c>
      <c r="N84" s="92"/>
      <c r="O84" s="84"/>
      <c r="P84" s="89"/>
      <c r="Q84" s="84"/>
      <c r="R84" s="85"/>
      <c r="S84" s="105"/>
      <c r="T84" s="106"/>
      <c r="U84" s="46"/>
      <c r="V84" s="78"/>
      <c r="W84" s="107"/>
      <c r="X84" s="108"/>
      <c r="Y84" s="87"/>
    </row>
    <row r="85" spans="1:25" x14ac:dyDescent="0.2">
      <c r="A85" s="152"/>
      <c r="B85" s="153"/>
      <c r="C85" s="153"/>
      <c r="D85" s="153"/>
      <c r="E85" s="118"/>
      <c r="G85" s="1" t="s">
        <v>61</v>
      </c>
      <c r="H85" s="43"/>
      <c r="I85" s="3"/>
      <c r="J85" s="46"/>
      <c r="K85" s="43"/>
      <c r="L85" s="3"/>
      <c r="M85" s="84"/>
      <c r="N85" s="176">
        <v>7.2999999999999999E-5</v>
      </c>
      <c r="O85" s="87">
        <f t="shared" ref="O85:O90" si="25">$S$46*N85</f>
        <v>3.0360321783895783E-7</v>
      </c>
      <c r="P85" s="177">
        <v>5.4000000000000005E-5</v>
      </c>
      <c r="Q85" s="87">
        <f>$S$47*P85</f>
        <v>6.5808101120620238E-7</v>
      </c>
      <c r="R85" s="85"/>
      <c r="S85" s="105"/>
      <c r="T85" s="106"/>
      <c r="U85" s="46"/>
      <c r="V85" s="43"/>
      <c r="W85" s="105"/>
      <c r="X85" s="106"/>
      <c r="Y85" s="84"/>
    </row>
    <row r="86" spans="1:25" x14ac:dyDescent="0.2">
      <c r="A86" s="152"/>
      <c r="B86" s="153"/>
      <c r="C86" s="153"/>
      <c r="D86" s="153"/>
      <c r="E86" s="118"/>
      <c r="G86" s="1" t="s">
        <v>169</v>
      </c>
      <c r="H86" s="43"/>
      <c r="I86" s="3"/>
      <c r="J86" s="46"/>
      <c r="K86" s="43"/>
      <c r="L86" s="3"/>
      <c r="M86" s="84"/>
      <c r="N86" s="176">
        <v>7.7000000000000001E-5</v>
      </c>
      <c r="O86" s="87">
        <f t="shared" si="25"/>
        <v>3.2023901059725688E-7</v>
      </c>
      <c r="P86" s="90"/>
      <c r="Q86" s="87"/>
      <c r="R86" s="85"/>
      <c r="S86" s="105"/>
      <c r="T86" s="106"/>
      <c r="U86" s="46"/>
      <c r="V86" s="43"/>
      <c r="W86" s="105"/>
      <c r="X86" s="106"/>
      <c r="Y86" s="84"/>
    </row>
    <row r="87" spans="1:25" ht="13.5" thickBot="1" x14ac:dyDescent="0.25">
      <c r="A87" s="154"/>
      <c r="B87" s="155"/>
      <c r="C87" s="155"/>
      <c r="D87" s="155"/>
      <c r="E87" s="119"/>
      <c r="G87" s="1" t="s">
        <v>25</v>
      </c>
      <c r="H87" s="188">
        <v>1E-3</v>
      </c>
      <c r="I87" s="189">
        <f t="shared" ref="I87:I98" si="26">H87</f>
        <v>1E-3</v>
      </c>
      <c r="J87" s="190">
        <v>1E-3</v>
      </c>
      <c r="K87" s="164">
        <v>1.4999999999999999E-4</v>
      </c>
      <c r="L87" s="162">
        <v>2.8999999999999998E-3</v>
      </c>
      <c r="M87" s="183">
        <v>2.8999999999999998E-3</v>
      </c>
      <c r="N87" s="178">
        <v>2.0999999999999999E-3</v>
      </c>
      <c r="O87" s="87">
        <f t="shared" si="25"/>
        <v>8.7337911981070046E-6</v>
      </c>
      <c r="P87" s="175">
        <v>6.2E-4</v>
      </c>
      <c r="Q87" s="87">
        <f>$S$47*P87</f>
        <v>7.5557449434786198E-6</v>
      </c>
      <c r="R87" s="85"/>
      <c r="S87" s="105"/>
      <c r="T87" s="106"/>
      <c r="U87" s="46"/>
      <c r="V87" s="78"/>
      <c r="W87" s="107"/>
      <c r="X87" s="108"/>
      <c r="Y87" s="87"/>
    </row>
    <row r="88" spans="1:25" ht="42" customHeight="1" thickBot="1" x14ac:dyDescent="0.25">
      <c r="A88" s="11" t="s">
        <v>45</v>
      </c>
      <c r="B88" s="12" t="s">
        <v>58</v>
      </c>
      <c r="C88" s="12" t="s">
        <v>42</v>
      </c>
      <c r="D88" s="12" t="s">
        <v>43</v>
      </c>
      <c r="E88" s="13" t="s">
        <v>39</v>
      </c>
      <c r="G88" s="1" t="s">
        <v>170</v>
      </c>
      <c r="H88" s="43"/>
      <c r="I88" s="3"/>
      <c r="J88" s="46"/>
      <c r="K88" s="43"/>
      <c r="L88" s="3"/>
      <c r="M88" s="84"/>
      <c r="N88" s="176">
        <v>1.2999999999999999E-5</v>
      </c>
      <c r="O88" s="87">
        <f t="shared" si="25"/>
        <v>5.406632646447194E-8</v>
      </c>
      <c r="P88" s="90"/>
      <c r="Q88" s="87"/>
      <c r="R88" s="85"/>
      <c r="S88" s="105"/>
      <c r="T88" s="106"/>
      <c r="U88" s="46"/>
      <c r="V88" s="43"/>
      <c r="W88" s="105"/>
      <c r="X88" s="106"/>
      <c r="Y88" s="84"/>
    </row>
    <row r="89" spans="1:25" x14ac:dyDescent="0.2">
      <c r="A89" s="15" t="s">
        <v>7</v>
      </c>
      <c r="B89" s="138">
        <f t="shared" ref="B89:B121" si="27">IF($B$5="Drum Mix",IF($B$6="Natural Gas Only",K92,IF($B$6="Nat Gas &amp; Fuel Oil",L92,M92)),IF($B$6="Natural Gas Only",H92,IF($B$6="Nat Gas &amp; Fuel Oil",I92,J92)))+O92+Q92</f>
        <v>1.9149426636138779E-4</v>
      </c>
      <c r="C89" s="138">
        <f t="shared" ref="C89:C121" si="28">IFERROR(B89*$B$3+IF($B$6="Natural Gas Only",T92,X92),"")</f>
        <v>7.6597706544555111E-2</v>
      </c>
      <c r="D89" s="138">
        <f t="shared" ref="D89:D121" si="29">IFERROR(B89*$B$4/2000+IF($B$6="Natural Gas Only",U92,Y92),"")</f>
        <v>5.744827990841634E-2</v>
      </c>
      <c r="E89" s="220" t="s">
        <v>173</v>
      </c>
      <c r="G89" s="1" t="s">
        <v>171</v>
      </c>
      <c r="H89" s="43"/>
      <c r="I89" s="3"/>
      <c r="J89" s="46"/>
      <c r="K89" s="43"/>
      <c r="L89" s="3"/>
      <c r="M89" s="84"/>
      <c r="N89" s="178">
        <v>4.0999999999999995E-3</v>
      </c>
      <c r="O89" s="87">
        <f t="shared" si="25"/>
        <v>1.7051687577256534E-5</v>
      </c>
      <c r="P89" s="181">
        <v>2E-3</v>
      </c>
      <c r="Q89" s="87">
        <f>$S$47*P89</f>
        <v>2.4373370785414903E-5</v>
      </c>
      <c r="R89" s="85"/>
      <c r="S89" s="105"/>
      <c r="T89" s="106"/>
      <c r="U89" s="46"/>
      <c r="V89" s="43"/>
      <c r="W89" s="105"/>
      <c r="X89" s="106"/>
      <c r="Y89" s="84"/>
    </row>
    <row r="90" spans="1:25" x14ac:dyDescent="0.2">
      <c r="A90" s="14" t="s">
        <v>8</v>
      </c>
      <c r="B90" s="139">
        <f t="shared" si="27"/>
        <v>3.4797158941007293E-6</v>
      </c>
      <c r="C90" s="139">
        <f t="shared" si="28"/>
        <v>1.4108149290688631E-3</v>
      </c>
      <c r="D90" s="139">
        <f t="shared" si="29"/>
        <v>1.1268219110873617E-3</v>
      </c>
      <c r="E90" s="218"/>
      <c r="G90" s="1" t="s">
        <v>36</v>
      </c>
      <c r="H90" s="43"/>
      <c r="I90" s="3"/>
      <c r="J90" s="46"/>
      <c r="K90" s="43"/>
      <c r="L90" s="3"/>
      <c r="M90" s="84"/>
      <c r="N90" s="178">
        <v>8.0000000000000004E-4</v>
      </c>
      <c r="O90" s="87">
        <f t="shared" si="25"/>
        <v>3.3271585516598118E-6</v>
      </c>
      <c r="P90" s="175">
        <v>5.6999999999999998E-4</v>
      </c>
      <c r="Q90" s="87">
        <f>$S$47*P90</f>
        <v>6.9464106738432469E-6</v>
      </c>
      <c r="R90" s="85"/>
      <c r="S90" s="105"/>
      <c r="T90" s="106"/>
      <c r="U90" s="46"/>
      <c r="V90" s="43"/>
      <c r="W90" s="105"/>
      <c r="X90" s="106"/>
      <c r="Y90" s="84"/>
    </row>
    <row r="91" spans="1:25" ht="12.75" customHeight="1" x14ac:dyDescent="0.2">
      <c r="A91" s="156" t="s">
        <v>9</v>
      </c>
      <c r="B91" s="157">
        <f t="shared" si="27"/>
        <v>2.2131006867971604E-5</v>
      </c>
      <c r="C91" s="157">
        <f t="shared" si="28"/>
        <v>8.859545604331498E-3</v>
      </c>
      <c r="D91" s="157">
        <f t="shared" si="29"/>
        <v>6.6705877746771952E-3</v>
      </c>
      <c r="E91" s="218"/>
      <c r="G91" s="34" t="s">
        <v>62</v>
      </c>
      <c r="H91" s="191">
        <v>2.7000000000000001E-3</v>
      </c>
      <c r="I91" s="160">
        <f t="shared" si="26"/>
        <v>2.7000000000000001E-3</v>
      </c>
      <c r="J91" s="192">
        <v>2.7000000000000001E-3</v>
      </c>
      <c r="K91" s="193">
        <v>2.0000000000000001E-4</v>
      </c>
      <c r="L91" s="194">
        <v>2.0000000000000001E-4</v>
      </c>
      <c r="M91" s="195">
        <v>2.0000000000000001E-4</v>
      </c>
      <c r="N91" s="94"/>
      <c r="O91" s="95"/>
      <c r="P91" s="96"/>
      <c r="Q91" s="95"/>
      <c r="R91" s="97"/>
      <c r="S91" s="109"/>
      <c r="T91" s="110"/>
      <c r="U91" s="75"/>
      <c r="V91" s="79"/>
      <c r="W91" s="113"/>
      <c r="X91" s="114"/>
      <c r="Y91" s="98"/>
    </row>
    <row r="92" spans="1:25" x14ac:dyDescent="0.2">
      <c r="A92" s="14" t="s">
        <v>10</v>
      </c>
      <c r="B92" s="139">
        <f t="shared" si="27"/>
        <v>3.6687119849930144E-6</v>
      </c>
      <c r="C92" s="139">
        <f t="shared" si="28"/>
        <v>1.4739133654257772E-3</v>
      </c>
      <c r="D92" s="139">
        <f t="shared" si="29"/>
        <v>1.1287707383550471E-3</v>
      </c>
      <c r="E92" s="218"/>
      <c r="G92" s="35" t="s">
        <v>7</v>
      </c>
      <c r="H92" s="196">
        <v>7.1000000000000005E-5</v>
      </c>
      <c r="I92" s="167">
        <f t="shared" si="26"/>
        <v>7.1000000000000005E-5</v>
      </c>
      <c r="J92" s="197">
        <v>7.1000000000000005E-5</v>
      </c>
      <c r="K92" s="196">
        <v>7.3999999999999996E-5</v>
      </c>
      <c r="L92" s="161">
        <v>1.7000000000000001E-4</v>
      </c>
      <c r="M92" s="198">
        <v>1.7000000000000001E-4</v>
      </c>
      <c r="N92" s="179">
        <v>2.3800000000000002E-2</v>
      </c>
      <c r="O92" s="99">
        <f>$R$62*N92</f>
        <v>8.1143013573110442E-6</v>
      </c>
      <c r="P92" s="179">
        <v>5.2699999999999997E-2</v>
      </c>
      <c r="Q92" s="99">
        <f>$R$63*P92</f>
        <v>1.337996500407672E-5</v>
      </c>
      <c r="R92" s="100"/>
      <c r="S92" s="111"/>
      <c r="T92" s="112"/>
      <c r="U92" s="77"/>
      <c r="V92" s="76"/>
      <c r="W92" s="115"/>
      <c r="X92" s="116"/>
      <c r="Y92" s="99"/>
    </row>
    <row r="93" spans="1:25" ht="12" customHeight="1" x14ac:dyDescent="0.2">
      <c r="A93" s="15" t="s">
        <v>11</v>
      </c>
      <c r="B93" s="138">
        <f t="shared" si="27"/>
        <v>4.1695603229401398E-7</v>
      </c>
      <c r="C93" s="138">
        <f t="shared" si="28"/>
        <v>1.667824129176056E-4</v>
      </c>
      <c r="D93" s="138">
        <f t="shared" si="29"/>
        <v>1.2508680968820418E-4</v>
      </c>
      <c r="E93" s="218"/>
      <c r="G93" s="1" t="s">
        <v>8</v>
      </c>
      <c r="H93" s="185">
        <v>8.9999999999999996E-7</v>
      </c>
      <c r="I93" s="186">
        <f t="shared" si="26"/>
        <v>8.9999999999999996E-7</v>
      </c>
      <c r="J93" s="199">
        <v>8.9999999999999996E-7</v>
      </c>
      <c r="K93" s="185">
        <v>1.3999999999999999E-6</v>
      </c>
      <c r="L93" s="186">
        <v>1.3999999999999999E-6</v>
      </c>
      <c r="M93" s="184">
        <v>1.3999999999999999E-6</v>
      </c>
      <c r="N93" s="178">
        <v>2.5999999999999999E-3</v>
      </c>
      <c r="O93" s="87">
        <f t="shared" ref="O93:O110" si="30">$R$62*N93</f>
        <v>8.8643628273145848E-7</v>
      </c>
      <c r="P93" s="178">
        <v>4.6999999999999993E-3</v>
      </c>
      <c r="Q93" s="87">
        <f t="shared" ref="Q93:Q96" si="31">$R$63*P93</f>
        <v>1.1932796113692709E-6</v>
      </c>
      <c r="R93" s="85"/>
      <c r="S93" s="105"/>
      <c r="T93" s="106"/>
      <c r="U93" s="46"/>
      <c r="V93" s="78">
        <f>R31</f>
        <v>5.3000000000000001E-7</v>
      </c>
      <c r="W93" s="107">
        <f t="shared" ref="W93:W95" si="32">V93*1000/$L$4</f>
        <v>3.7857142857142856E-6</v>
      </c>
      <c r="X93" s="108">
        <f t="shared" ref="X93:X95" si="33">W93*$B$7</f>
        <v>1.8928571428571428E-5</v>
      </c>
      <c r="Y93" s="87">
        <f t="shared" ref="Y93:Y95" si="34">X93*8760/2000</f>
        <v>8.2907142857142861E-5</v>
      </c>
    </row>
    <row r="94" spans="1:25" x14ac:dyDescent="0.2">
      <c r="A94" s="14" t="s">
        <v>13</v>
      </c>
      <c r="B94" s="139">
        <f t="shared" si="27"/>
        <v>1.764155173185521E-8</v>
      </c>
      <c r="C94" s="139">
        <f t="shared" si="28"/>
        <v>7.0566206927420835E-6</v>
      </c>
      <c r="D94" s="139">
        <f t="shared" si="29"/>
        <v>5.292465519556563E-6</v>
      </c>
      <c r="E94" s="218"/>
      <c r="G94" s="1" t="s">
        <v>9</v>
      </c>
      <c r="H94" s="185">
        <v>5.7999999999999995E-7</v>
      </c>
      <c r="I94" s="186">
        <f t="shared" si="26"/>
        <v>5.7999999999999995E-7</v>
      </c>
      <c r="J94" s="199">
        <v>5.7999999999999995E-7</v>
      </c>
      <c r="K94" s="185">
        <v>8.6000000000000007E-6</v>
      </c>
      <c r="L94" s="186">
        <v>2.1999999999999999E-5</v>
      </c>
      <c r="M94" s="184">
        <v>2.1999999999999999E-5</v>
      </c>
      <c r="N94" s="175">
        <v>2.7999999999999998E-4</v>
      </c>
      <c r="O94" s="87">
        <f t="shared" si="30"/>
        <v>9.5462368909541672E-8</v>
      </c>
      <c r="P94" s="175">
        <v>1.4000000000000001E-4</v>
      </c>
      <c r="Q94" s="87">
        <f t="shared" si="31"/>
        <v>3.5544499062063402E-8</v>
      </c>
      <c r="R94" s="85"/>
      <c r="S94" s="105"/>
      <c r="T94" s="106"/>
      <c r="U94" s="46"/>
      <c r="V94" s="78">
        <f>R32</f>
        <v>1.9999999999999999E-7</v>
      </c>
      <c r="W94" s="107">
        <f t="shared" si="32"/>
        <v>1.4285714285714284E-6</v>
      </c>
      <c r="X94" s="108">
        <f t="shared" si="33"/>
        <v>7.1428571428571419E-6</v>
      </c>
      <c r="Y94" s="87">
        <f t="shared" si="34"/>
        <v>3.1285714285714285E-5</v>
      </c>
    </row>
    <row r="95" spans="1:25" x14ac:dyDescent="0.2">
      <c r="A95" s="15" t="s">
        <v>14</v>
      </c>
      <c r="B95" s="138">
        <f t="shared" si="27"/>
        <v>1.2591121441830415E-7</v>
      </c>
      <c r="C95" s="138">
        <f t="shared" si="28"/>
        <v>5.3935914338750232E-5</v>
      </c>
      <c r="D95" s="138">
        <f t="shared" si="29"/>
        <v>5.3416221468348392E-5</v>
      </c>
      <c r="E95" s="218"/>
      <c r="G95" s="1" t="s">
        <v>10</v>
      </c>
      <c r="H95" s="185">
        <v>2.1E-7</v>
      </c>
      <c r="I95" s="186">
        <f t="shared" si="26"/>
        <v>2.1E-7</v>
      </c>
      <c r="J95" s="200">
        <v>2.1E-7</v>
      </c>
      <c r="K95" s="185">
        <v>2.2000000000000001E-7</v>
      </c>
      <c r="L95" s="186">
        <v>3.1E-6</v>
      </c>
      <c r="M95" s="184">
        <v>3.1E-6</v>
      </c>
      <c r="N95" s="175">
        <v>6.9999999999999999E-4</v>
      </c>
      <c r="O95" s="87">
        <f t="shared" si="30"/>
        <v>2.3865592227385419E-7</v>
      </c>
      <c r="P95" s="175">
        <v>1.2999999999999999E-3</v>
      </c>
      <c r="Q95" s="87">
        <f t="shared" si="31"/>
        <v>3.3005606271916008E-7</v>
      </c>
      <c r="R95" s="85"/>
      <c r="S95" s="105"/>
      <c r="T95" s="106"/>
      <c r="U95" s="46"/>
      <c r="V95" s="78">
        <f>R33</f>
        <v>1.8E-7</v>
      </c>
      <c r="W95" s="107">
        <f t="shared" si="32"/>
        <v>1.2857142857142856E-6</v>
      </c>
      <c r="X95" s="108">
        <f t="shared" si="33"/>
        <v>6.4285714285714278E-6</v>
      </c>
      <c r="Y95" s="87">
        <f t="shared" si="34"/>
        <v>2.8157142857142851E-5</v>
      </c>
    </row>
    <row r="96" spans="1:25" x14ac:dyDescent="0.2">
      <c r="A96" s="14" t="s">
        <v>93</v>
      </c>
      <c r="B96" s="139">
        <f t="shared" si="27"/>
        <v>1.6071256998834392E-7</v>
      </c>
      <c r="C96" s="139">
        <f t="shared" si="28"/>
        <v>6.4285027995337573E-5</v>
      </c>
      <c r="D96" s="139">
        <f t="shared" si="29"/>
        <v>4.8213770996503173E-5</v>
      </c>
      <c r="E96" s="218"/>
      <c r="G96" s="1" t="s">
        <v>11</v>
      </c>
      <c r="H96" s="185">
        <v>4.5999999999999998E-9</v>
      </c>
      <c r="I96" s="186">
        <f t="shared" si="26"/>
        <v>4.5999999999999998E-9</v>
      </c>
      <c r="J96" s="199">
        <v>4.5999999999999998E-9</v>
      </c>
      <c r="K96" s="185">
        <v>2.1E-7</v>
      </c>
      <c r="L96" s="186">
        <v>2.1E-7</v>
      </c>
      <c r="M96" s="184">
        <v>2.1E-7</v>
      </c>
      <c r="N96" s="175">
        <v>1.9000000000000001E-4</v>
      </c>
      <c r="O96" s="87">
        <f t="shared" si="30"/>
        <v>6.4778036045760436E-8</v>
      </c>
      <c r="P96" s="175">
        <v>5.5999999999999995E-4</v>
      </c>
      <c r="Q96" s="87">
        <f t="shared" si="31"/>
        <v>1.4217799624825358E-7</v>
      </c>
      <c r="R96" s="85"/>
      <c r="S96" s="105"/>
      <c r="T96" s="106"/>
      <c r="U96" s="46"/>
      <c r="V96" s="78"/>
      <c r="W96" s="107"/>
      <c r="X96" s="108"/>
      <c r="Y96" s="87"/>
    </row>
    <row r="97" spans="1:25" x14ac:dyDescent="0.2">
      <c r="A97" s="15" t="s">
        <v>15</v>
      </c>
      <c r="B97" s="138">
        <f t="shared" si="27"/>
        <v>4.6477803604576041E-8</v>
      </c>
      <c r="C97" s="138">
        <f t="shared" si="28"/>
        <v>1.8591121441830417E-5</v>
      </c>
      <c r="D97" s="138">
        <f t="shared" si="29"/>
        <v>1.3943341081372813E-5</v>
      </c>
      <c r="E97" s="218"/>
      <c r="G97" s="1" t="s">
        <v>13</v>
      </c>
      <c r="H97" s="185">
        <v>3.1000000000000002E-10</v>
      </c>
      <c r="I97" s="186">
        <f t="shared" si="26"/>
        <v>3.1000000000000002E-10</v>
      </c>
      <c r="J97" s="199">
        <v>3.1000000000000002E-10</v>
      </c>
      <c r="K97" s="185">
        <v>9.8000000000000001E-9</v>
      </c>
      <c r="L97" s="186">
        <v>9.8000000000000001E-9</v>
      </c>
      <c r="M97" s="184">
        <v>9.8000000000000001E-9</v>
      </c>
      <c r="N97" s="176">
        <v>2.3E-5</v>
      </c>
      <c r="O97" s="87">
        <f t="shared" si="30"/>
        <v>7.8415517318552095E-9</v>
      </c>
      <c r="P97" s="91"/>
      <c r="Q97" s="87"/>
      <c r="R97" s="85"/>
      <c r="S97" s="105"/>
      <c r="T97" s="106"/>
      <c r="U97" s="46"/>
      <c r="V97" s="78"/>
      <c r="W97" s="107"/>
      <c r="X97" s="108"/>
      <c r="Y97" s="87"/>
    </row>
    <row r="98" spans="1:25" x14ac:dyDescent="0.2">
      <c r="A98" s="14" t="s">
        <v>16</v>
      </c>
      <c r="B98" s="139">
        <f t="shared" si="27"/>
        <v>4.8500614700035423E-8</v>
      </c>
      <c r="C98" s="139">
        <f t="shared" si="28"/>
        <v>1.9400245880014168E-5</v>
      </c>
      <c r="D98" s="139">
        <f t="shared" si="29"/>
        <v>1.4550184410010626E-5</v>
      </c>
      <c r="E98" s="218"/>
      <c r="G98" s="1" t="s">
        <v>14</v>
      </c>
      <c r="H98" s="185">
        <v>9.3999999999999998E-9</v>
      </c>
      <c r="I98" s="186">
        <f t="shared" si="26"/>
        <v>9.3999999999999998E-9</v>
      </c>
      <c r="J98" s="199">
        <v>9.3999999999999998E-9</v>
      </c>
      <c r="K98" s="185">
        <v>9.9999999999999995E-8</v>
      </c>
      <c r="L98" s="186">
        <v>9.9999999999999995E-8</v>
      </c>
      <c r="M98" s="184">
        <v>9.9999999999999995E-8</v>
      </c>
      <c r="N98" s="176">
        <v>7.6000000000000004E-5</v>
      </c>
      <c r="O98" s="87">
        <f t="shared" si="30"/>
        <v>2.5911214418304172E-8</v>
      </c>
      <c r="P98" s="91"/>
      <c r="Q98" s="87"/>
      <c r="R98" s="85"/>
      <c r="S98" s="105"/>
      <c r="T98" s="106"/>
      <c r="U98" s="46"/>
      <c r="V98" s="78">
        <f>R34</f>
        <v>9.9999999999999995E-8</v>
      </c>
      <c r="W98" s="107">
        <f>V98*1000/$L$4</f>
        <v>7.1428571428571421E-7</v>
      </c>
      <c r="X98" s="108">
        <f>W98*$B$7</f>
        <v>3.5714285714285709E-6</v>
      </c>
      <c r="Y98" s="87">
        <f>X98*8760/2000</f>
        <v>1.5642857142857143E-5</v>
      </c>
    </row>
    <row r="99" spans="1:25" x14ac:dyDescent="0.2">
      <c r="A99" s="15" t="s">
        <v>17</v>
      </c>
      <c r="B99" s="138">
        <f t="shared" si="27"/>
        <v>1.0643326287053365E-6</v>
      </c>
      <c r="C99" s="138">
        <f t="shared" si="28"/>
        <v>4.2573305148213461E-4</v>
      </c>
      <c r="D99" s="138">
        <f t="shared" si="29"/>
        <v>3.1929978861160098E-4</v>
      </c>
      <c r="E99" s="218"/>
      <c r="G99" s="1" t="s">
        <v>93</v>
      </c>
      <c r="H99" s="78"/>
      <c r="I99" s="80"/>
      <c r="J99" s="81"/>
      <c r="K99" s="185">
        <v>1.1000000000000001E-7</v>
      </c>
      <c r="L99" s="186">
        <v>1.1000000000000001E-7</v>
      </c>
      <c r="M99" s="184">
        <v>1.1000000000000001E-7</v>
      </c>
      <c r="N99" s="176">
        <v>7.7999999999999999E-5</v>
      </c>
      <c r="O99" s="87">
        <f t="shared" si="30"/>
        <v>2.6593088481943754E-8</v>
      </c>
      <c r="P99" s="176">
        <v>9.4999999999999992E-5</v>
      </c>
      <c r="Q99" s="87">
        <f>$R$63*P99</f>
        <v>2.411948150640016E-8</v>
      </c>
      <c r="R99" s="85"/>
      <c r="S99" s="105"/>
      <c r="T99" s="106"/>
      <c r="U99" s="46"/>
      <c r="V99" s="78"/>
      <c r="W99" s="107"/>
      <c r="X99" s="108"/>
      <c r="Y99" s="87"/>
    </row>
    <row r="100" spans="1:25" x14ac:dyDescent="0.2">
      <c r="A100" s="14" t="s">
        <v>52</v>
      </c>
      <c r="B100" s="139">
        <f t="shared" si="27"/>
        <v>1.2614670177332296E-9</v>
      </c>
      <c r="C100" s="139">
        <f t="shared" si="28"/>
        <v>5.0458680709329179E-7</v>
      </c>
      <c r="D100" s="139">
        <f t="shared" si="29"/>
        <v>3.7844010531996887E-7</v>
      </c>
      <c r="E100" s="218"/>
      <c r="G100" s="1" t="s">
        <v>15</v>
      </c>
      <c r="H100" s="185">
        <v>5.0000000000000003E-10</v>
      </c>
      <c r="I100" s="186">
        <f t="shared" ref="I100:I105" si="35">H100</f>
        <v>5.0000000000000003E-10</v>
      </c>
      <c r="J100" s="199">
        <v>5.0000000000000003E-10</v>
      </c>
      <c r="K100" s="185">
        <v>4.0000000000000001E-8</v>
      </c>
      <c r="L100" s="186">
        <v>4.0000000000000001E-8</v>
      </c>
      <c r="M100" s="184">
        <v>4.0000000000000001E-8</v>
      </c>
      <c r="N100" s="176">
        <v>1.9000000000000001E-5</v>
      </c>
      <c r="O100" s="87">
        <f t="shared" si="30"/>
        <v>6.477803604576043E-9</v>
      </c>
      <c r="P100" s="91"/>
      <c r="Q100" s="87"/>
      <c r="R100" s="85"/>
      <c r="S100" s="105"/>
      <c r="T100" s="106"/>
      <c r="U100" s="46"/>
      <c r="V100" s="78"/>
      <c r="W100" s="107"/>
      <c r="X100" s="108"/>
      <c r="Y100" s="87"/>
    </row>
    <row r="101" spans="1:25" x14ac:dyDescent="0.2">
      <c r="A101" s="15" t="s">
        <v>18</v>
      </c>
      <c r="B101" s="138">
        <f t="shared" si="27"/>
        <v>1.1613024344320037E-6</v>
      </c>
      <c r="C101" s="138">
        <f t="shared" si="28"/>
        <v>4.6609240234423007E-4</v>
      </c>
      <c r="D101" s="138">
        <f t="shared" si="29"/>
        <v>3.5527358747245824E-4</v>
      </c>
      <c r="E101" s="218"/>
      <c r="G101" s="1" t="s">
        <v>16</v>
      </c>
      <c r="H101" s="185">
        <v>1.3000000000000001E-8</v>
      </c>
      <c r="I101" s="186">
        <f t="shared" si="35"/>
        <v>1.3000000000000001E-8</v>
      </c>
      <c r="J101" s="199">
        <v>1.3000000000000001E-8</v>
      </c>
      <c r="K101" s="185">
        <v>4.1000000000000003E-8</v>
      </c>
      <c r="L101" s="186">
        <v>4.1000000000000003E-8</v>
      </c>
      <c r="M101" s="184">
        <v>4.1000000000000003E-8</v>
      </c>
      <c r="N101" s="176">
        <v>2.1999999999999999E-5</v>
      </c>
      <c r="O101" s="87">
        <f t="shared" si="30"/>
        <v>7.5006147000354183E-9</v>
      </c>
      <c r="P101" s="91"/>
      <c r="Q101" s="87"/>
      <c r="R101" s="85"/>
      <c r="S101" s="105"/>
      <c r="T101" s="106"/>
      <c r="U101" s="46"/>
      <c r="V101" s="78"/>
      <c r="W101" s="107"/>
      <c r="X101" s="108"/>
      <c r="Y101" s="87"/>
    </row>
    <row r="102" spans="1:25" x14ac:dyDescent="0.2">
      <c r="A102" s="14" t="s">
        <v>19</v>
      </c>
      <c r="B102" s="139">
        <f t="shared" si="27"/>
        <v>1.6189496863061257E-5</v>
      </c>
      <c r="C102" s="139">
        <f t="shared" si="28"/>
        <v>6.4769416023673608E-3</v>
      </c>
      <c r="D102" s="139">
        <f t="shared" si="29"/>
        <v>4.8618547732040916E-3</v>
      </c>
      <c r="E102" s="218"/>
      <c r="G102" s="1" t="s">
        <v>17</v>
      </c>
      <c r="H102" s="185">
        <v>3.8000000000000001E-9</v>
      </c>
      <c r="I102" s="186">
        <f t="shared" si="35"/>
        <v>3.8000000000000001E-9</v>
      </c>
      <c r="J102" s="199">
        <v>3.8000000000000001E-9</v>
      </c>
      <c r="K102" s="185">
        <v>1.8E-7</v>
      </c>
      <c r="L102" s="186">
        <v>1.8E-7</v>
      </c>
      <c r="M102" s="184">
        <v>1.8E-7</v>
      </c>
      <c r="N102" s="175">
        <v>1.0300000000000001E-3</v>
      </c>
      <c r="O102" s="87">
        <f t="shared" si="30"/>
        <v>3.5116514277438552E-7</v>
      </c>
      <c r="P102" s="178">
        <v>2.0999999999999999E-3</v>
      </c>
      <c r="Q102" s="87">
        <f>$R$63*P102</f>
        <v>5.3316748593095087E-7</v>
      </c>
      <c r="R102" s="85"/>
      <c r="S102" s="105"/>
      <c r="T102" s="106"/>
      <c r="U102" s="46"/>
      <c r="V102" s="78"/>
      <c r="W102" s="107"/>
      <c r="X102" s="108"/>
      <c r="Y102" s="87"/>
    </row>
    <row r="103" spans="1:25" x14ac:dyDescent="0.2">
      <c r="A103" s="15" t="s">
        <v>21</v>
      </c>
      <c r="B103" s="138">
        <f t="shared" si="27"/>
        <v>8.6024040495530218E-9</v>
      </c>
      <c r="C103" s="138">
        <f t="shared" si="28"/>
        <v>3.4409616198212086E-6</v>
      </c>
      <c r="D103" s="138">
        <f t="shared" si="29"/>
        <v>2.5807212148659067E-6</v>
      </c>
      <c r="E103" s="218"/>
      <c r="G103" s="20" t="s">
        <v>52</v>
      </c>
      <c r="H103" s="185">
        <v>9.4999999999999995E-11</v>
      </c>
      <c r="I103" s="186">
        <f t="shared" si="35"/>
        <v>9.4999999999999995E-11</v>
      </c>
      <c r="J103" s="199">
        <v>9.4999999999999995E-11</v>
      </c>
      <c r="K103" s="78"/>
      <c r="L103" s="80"/>
      <c r="M103" s="86"/>
      <c r="N103" s="177">
        <v>3.7000000000000002E-6</v>
      </c>
      <c r="O103" s="87">
        <f t="shared" si="30"/>
        <v>1.2614670177332296E-9</v>
      </c>
      <c r="P103" s="90"/>
      <c r="Q103" s="87"/>
      <c r="R103" s="85"/>
      <c r="S103" s="105"/>
      <c r="T103" s="106"/>
      <c r="U103" s="46"/>
      <c r="V103" s="78"/>
      <c r="W103" s="107"/>
      <c r="X103" s="108"/>
      <c r="Y103" s="87"/>
    </row>
    <row r="104" spans="1:25" x14ac:dyDescent="0.2">
      <c r="A104" s="14" t="s">
        <v>22</v>
      </c>
      <c r="B104" s="139">
        <f t="shared" si="27"/>
        <v>6.5888249777581564E-4</v>
      </c>
      <c r="C104" s="139">
        <f t="shared" si="28"/>
        <v>0.26416014196746912</v>
      </c>
      <c r="D104" s="139">
        <f t="shared" si="29"/>
        <v>0.20032403504703042</v>
      </c>
      <c r="E104" s="218"/>
      <c r="G104" s="1" t="s">
        <v>18</v>
      </c>
      <c r="H104" s="185">
        <v>1.6E-7</v>
      </c>
      <c r="I104" s="186">
        <f t="shared" si="35"/>
        <v>1.6E-7</v>
      </c>
      <c r="J104" s="199">
        <v>2.4000000000000001E-5</v>
      </c>
      <c r="K104" s="185">
        <v>6.0999999999999998E-7</v>
      </c>
      <c r="L104" s="186">
        <v>6.0999999999999998E-7</v>
      </c>
      <c r="M104" s="184">
        <v>6.0999999999999998E-7</v>
      </c>
      <c r="N104" s="175">
        <v>5.0000000000000001E-4</v>
      </c>
      <c r="O104" s="87">
        <f t="shared" si="30"/>
        <v>1.7046851590989587E-7</v>
      </c>
      <c r="P104" s="178">
        <v>1.5E-3</v>
      </c>
      <c r="Q104" s="87">
        <f t="shared" ref="Q104:Q105" si="36">$R$63*P104</f>
        <v>3.808339185221078E-7</v>
      </c>
      <c r="R104" s="85"/>
      <c r="S104" s="105"/>
      <c r="T104" s="106"/>
      <c r="U104" s="46"/>
      <c r="V104" s="78">
        <f>R35</f>
        <v>4.3999999999999997E-8</v>
      </c>
      <c r="W104" s="107">
        <f t="shared" ref="W104:W105" si="37">V104*1000/$L$4</f>
        <v>3.1428571428571428E-7</v>
      </c>
      <c r="X104" s="108">
        <f t="shared" ref="X104:X105" si="38">W104*$B$7</f>
        <v>1.5714285714285714E-6</v>
      </c>
      <c r="Y104" s="87">
        <f t="shared" ref="Y104:Y105" si="39">X104*8760/2000</f>
        <v>6.8828571428571427E-6</v>
      </c>
    </row>
    <row r="105" spans="1:25" x14ac:dyDescent="0.2">
      <c r="A105" s="15" t="s">
        <v>95</v>
      </c>
      <c r="B105" s="138">
        <f t="shared" si="27"/>
        <v>1.5997293070477573E-7</v>
      </c>
      <c r="C105" s="138">
        <f t="shared" si="28"/>
        <v>6.3989172281910296E-5</v>
      </c>
      <c r="D105" s="138">
        <f t="shared" si="29"/>
        <v>4.7991879211432718E-5</v>
      </c>
      <c r="E105" s="218"/>
      <c r="G105" s="1" t="s">
        <v>19</v>
      </c>
      <c r="H105" s="185">
        <v>1.5999999999999999E-6</v>
      </c>
      <c r="I105" s="186">
        <f t="shared" si="35"/>
        <v>1.5999999999999999E-6</v>
      </c>
      <c r="J105" s="199">
        <v>1.5999999999999999E-6</v>
      </c>
      <c r="K105" s="185">
        <v>3.8E-6</v>
      </c>
      <c r="L105" s="186">
        <v>1.1E-5</v>
      </c>
      <c r="M105" s="184">
        <v>1.1E-5</v>
      </c>
      <c r="N105" s="178">
        <v>7.7000000000000002E-3</v>
      </c>
      <c r="O105" s="87">
        <f t="shared" si="30"/>
        <v>2.6252151450123964E-6</v>
      </c>
      <c r="P105" s="178">
        <v>1.01E-2</v>
      </c>
      <c r="Q105" s="87">
        <f t="shared" si="36"/>
        <v>2.5642817180488591E-6</v>
      </c>
      <c r="R105" s="85"/>
      <c r="S105" s="105"/>
      <c r="T105" s="106"/>
      <c r="U105" s="46"/>
      <c r="V105" s="78">
        <f>R36</f>
        <v>3.2000000000000002E-8</v>
      </c>
      <c r="W105" s="107">
        <f t="shared" si="37"/>
        <v>2.285714285714286E-7</v>
      </c>
      <c r="X105" s="108">
        <f t="shared" si="38"/>
        <v>1.142857142857143E-6</v>
      </c>
      <c r="Y105" s="87">
        <f t="shared" si="39"/>
        <v>5.0057142857142862E-6</v>
      </c>
    </row>
    <row r="106" spans="1:25" x14ac:dyDescent="0.2">
      <c r="A106" s="14" t="s">
        <v>23</v>
      </c>
      <c r="B106" s="139">
        <f t="shared" si="27"/>
        <v>3.0331596980005609E-5</v>
      </c>
      <c r="C106" s="139">
        <f t="shared" si="28"/>
        <v>1.2307638792002243E-2</v>
      </c>
      <c r="D106" s="139">
        <f t="shared" si="29"/>
        <v>9.8659790940016836E-3</v>
      </c>
      <c r="E106" s="218"/>
      <c r="G106" s="1" t="s">
        <v>21</v>
      </c>
      <c r="H106" s="185">
        <v>3E-10</v>
      </c>
      <c r="I106" s="186">
        <f t="shared" ref="I106:I107" si="40">H106</f>
        <v>3E-10</v>
      </c>
      <c r="J106" s="199">
        <v>3E-10</v>
      </c>
      <c r="K106" s="185">
        <v>6.9999999999999998E-9</v>
      </c>
      <c r="L106" s="186">
        <v>6.9999999999999998E-9</v>
      </c>
      <c r="M106" s="184">
        <v>6.9999999999999998E-9</v>
      </c>
      <c r="N106" s="177">
        <v>4.6999999999999999E-6</v>
      </c>
      <c r="O106" s="87">
        <f t="shared" si="30"/>
        <v>1.6024040495530212E-9</v>
      </c>
      <c r="P106" s="90"/>
      <c r="Q106" s="87"/>
      <c r="R106" s="85"/>
      <c r="S106" s="105"/>
      <c r="T106" s="106"/>
      <c r="U106" s="46"/>
      <c r="V106" s="78"/>
      <c r="W106" s="107"/>
      <c r="X106" s="108"/>
      <c r="Y106" s="87"/>
    </row>
    <row r="107" spans="1:25" x14ac:dyDescent="0.2">
      <c r="A107" s="15" t="s">
        <v>24</v>
      </c>
      <c r="B107" s="138">
        <f t="shared" si="27"/>
        <v>4.628518375394537E-6</v>
      </c>
      <c r="C107" s="138">
        <f t="shared" si="28"/>
        <v>1.852550207300672E-3</v>
      </c>
      <c r="D107" s="138">
        <f t="shared" si="29"/>
        <v>1.3935612269040754E-3</v>
      </c>
      <c r="E107" s="218"/>
      <c r="G107" s="1" t="s">
        <v>22</v>
      </c>
      <c r="H107" s="185">
        <v>3.6000000000000001E-5</v>
      </c>
      <c r="I107" s="186">
        <f t="shared" si="40"/>
        <v>3.6000000000000001E-5</v>
      </c>
      <c r="J107" s="199">
        <v>3.6000000000000001E-5</v>
      </c>
      <c r="K107" s="185">
        <v>9.0000000000000006E-5</v>
      </c>
      <c r="L107" s="163">
        <v>6.4999999999999997E-4</v>
      </c>
      <c r="M107" s="201">
        <v>6.4999999999999997E-4</v>
      </c>
      <c r="N107" s="178">
        <v>1.2500000000000001E-2</v>
      </c>
      <c r="O107" s="87">
        <f t="shared" si="30"/>
        <v>4.2617128977473972E-6</v>
      </c>
      <c r="P107" s="178">
        <v>1.8200000000000001E-2</v>
      </c>
      <c r="Q107" s="87">
        <f t="shared" ref="Q107:Q110" si="41">$R$63*P107</f>
        <v>4.6207848780682415E-6</v>
      </c>
      <c r="R107" s="85"/>
      <c r="S107" s="105"/>
      <c r="T107" s="106"/>
      <c r="U107" s="46"/>
      <c r="V107" s="78">
        <f>R37</f>
        <v>1.7E-5</v>
      </c>
      <c r="W107" s="107">
        <f>V107*1000/$L$4</f>
        <v>1.2142857142857144E-4</v>
      </c>
      <c r="X107" s="108">
        <f>W107*$B$7</f>
        <v>6.071428571428572E-4</v>
      </c>
      <c r="Y107" s="87">
        <f>X107*8760/2000</f>
        <v>2.6592857142857147E-3</v>
      </c>
    </row>
    <row r="108" spans="1:25" x14ac:dyDescent="0.2">
      <c r="A108" s="14" t="s">
        <v>26</v>
      </c>
      <c r="B108" s="139">
        <f t="shared" si="27"/>
        <v>5.6000000000000004E-7</v>
      </c>
      <c r="C108" s="139">
        <f t="shared" si="28"/>
        <v>2.2400000000000002E-4</v>
      </c>
      <c r="D108" s="139">
        <f t="shared" si="29"/>
        <v>1.6800000000000002E-4</v>
      </c>
      <c r="E108" s="218"/>
      <c r="G108" s="1" t="s">
        <v>95</v>
      </c>
      <c r="H108" s="78"/>
      <c r="I108" s="80"/>
      <c r="J108" s="81"/>
      <c r="K108" s="185">
        <v>8.7999999999999994E-9</v>
      </c>
      <c r="L108" s="186">
        <v>8.7999999999999994E-9</v>
      </c>
      <c r="M108" s="184">
        <v>8.7999999999999994E-9</v>
      </c>
      <c r="N108" s="175">
        <v>2.2000000000000001E-4</v>
      </c>
      <c r="O108" s="87">
        <f t="shared" si="30"/>
        <v>7.5006147000354186E-8</v>
      </c>
      <c r="P108" s="175">
        <v>2.9999999999999997E-4</v>
      </c>
      <c r="Q108" s="87">
        <f t="shared" si="41"/>
        <v>7.616678370442156E-8</v>
      </c>
      <c r="R108" s="85"/>
      <c r="S108" s="105"/>
      <c r="T108" s="106"/>
      <c r="U108" s="46"/>
      <c r="V108" s="78"/>
      <c r="W108" s="107"/>
      <c r="X108" s="108"/>
      <c r="Y108" s="87"/>
    </row>
    <row r="109" spans="1:25" x14ac:dyDescent="0.2">
      <c r="A109" s="15" t="s">
        <v>27</v>
      </c>
      <c r="B109" s="138">
        <f t="shared" si="27"/>
        <v>0</v>
      </c>
      <c r="C109" s="138">
        <f t="shared" si="28"/>
        <v>0</v>
      </c>
      <c r="D109" s="138">
        <f t="shared" si="29"/>
        <v>0</v>
      </c>
      <c r="E109" s="218"/>
      <c r="G109" s="1" t="s">
        <v>23</v>
      </c>
      <c r="H109" s="185">
        <v>2.6000000000000001E-6</v>
      </c>
      <c r="I109" s="186">
        <f t="shared" ref="I109:J122" si="42">H109</f>
        <v>2.6000000000000001E-6</v>
      </c>
      <c r="J109" s="199">
        <v>3.6999999999999998E-5</v>
      </c>
      <c r="K109" s="185">
        <v>7.6000000000000001E-6</v>
      </c>
      <c r="L109" s="186">
        <v>2.3E-5</v>
      </c>
      <c r="M109" s="184">
        <v>2.3E-5</v>
      </c>
      <c r="N109" s="178">
        <v>8.0999999999999996E-3</v>
      </c>
      <c r="O109" s="87">
        <f t="shared" si="30"/>
        <v>2.761589957740313E-6</v>
      </c>
      <c r="P109" s="178">
        <v>1.8000000000000002E-2</v>
      </c>
      <c r="Q109" s="87">
        <f t="shared" si="41"/>
        <v>4.5700070222652947E-6</v>
      </c>
      <c r="R109" s="85"/>
      <c r="S109" s="105"/>
      <c r="T109" s="106"/>
      <c r="U109" s="46"/>
      <c r="V109" s="78">
        <f>R38</f>
        <v>4.8999999999999997E-6</v>
      </c>
      <c r="W109" s="107">
        <f t="shared" ref="W109:W110" si="43">V109*1000/$L$4</f>
        <v>3.4999999999999997E-5</v>
      </c>
      <c r="X109" s="108">
        <f t="shared" ref="X109:X110" si="44">W109*$B$7</f>
        <v>1.7499999999999997E-4</v>
      </c>
      <c r="Y109" s="87">
        <f t="shared" ref="Y109:Y110" si="45">X109*8760/2000</f>
        <v>7.6649999999999982E-4</v>
      </c>
    </row>
    <row r="110" spans="1:25" x14ac:dyDescent="0.2">
      <c r="A110" s="14" t="s">
        <v>28</v>
      </c>
      <c r="B110" s="139">
        <f t="shared" si="27"/>
        <v>4.0999999999999999E-7</v>
      </c>
      <c r="C110" s="139">
        <f t="shared" si="28"/>
        <v>1.64E-4</v>
      </c>
      <c r="D110" s="139">
        <f t="shared" si="29"/>
        <v>1.2300000000000001E-4</v>
      </c>
      <c r="E110" s="218"/>
      <c r="G110" s="34" t="s">
        <v>24</v>
      </c>
      <c r="H110" s="202">
        <v>6.1999999999999999E-8</v>
      </c>
      <c r="I110" s="203">
        <f t="shared" si="42"/>
        <v>6.1999999999999999E-8</v>
      </c>
      <c r="J110" s="206">
        <v>5.5000000000000002E-5</v>
      </c>
      <c r="K110" s="202">
        <v>5.4000000000000002E-7</v>
      </c>
      <c r="L110" s="203">
        <v>3.0000000000000001E-6</v>
      </c>
      <c r="M110" s="204">
        <v>3.0000000000000001E-6</v>
      </c>
      <c r="N110" s="180">
        <v>1.5E-3</v>
      </c>
      <c r="O110" s="98">
        <f t="shared" si="30"/>
        <v>5.1140554772968764E-7</v>
      </c>
      <c r="P110" s="180">
        <v>4.4000000000000003E-3</v>
      </c>
      <c r="Q110" s="98">
        <f t="shared" si="41"/>
        <v>1.1171128276648496E-6</v>
      </c>
      <c r="R110" s="97"/>
      <c r="S110" s="109"/>
      <c r="T110" s="110"/>
      <c r="U110" s="75"/>
      <c r="V110" s="79">
        <f>R39</f>
        <v>3.2000000000000002E-8</v>
      </c>
      <c r="W110" s="113">
        <f t="shared" si="43"/>
        <v>2.285714285714286E-7</v>
      </c>
      <c r="X110" s="114">
        <f t="shared" si="44"/>
        <v>1.142857142857143E-6</v>
      </c>
      <c r="Y110" s="98">
        <f t="shared" si="45"/>
        <v>5.0057142857142862E-6</v>
      </c>
    </row>
    <row r="111" spans="1:25" x14ac:dyDescent="0.2">
      <c r="A111" s="15" t="s">
        <v>29</v>
      </c>
      <c r="B111" s="138">
        <f t="shared" si="27"/>
        <v>5.4999999999999999E-6</v>
      </c>
      <c r="C111" s="138">
        <f t="shared" si="28"/>
        <v>2.2000000000000001E-3</v>
      </c>
      <c r="D111" s="138">
        <f t="shared" si="29"/>
        <v>1.65E-3</v>
      </c>
      <c r="E111" s="218"/>
      <c r="G111" s="35" t="s">
        <v>26</v>
      </c>
      <c r="H111" s="196">
        <v>4.5999999999999999E-7</v>
      </c>
      <c r="I111" s="167">
        <f t="shared" si="42"/>
        <v>4.5999999999999999E-7</v>
      </c>
      <c r="J111" s="197">
        <f t="shared" si="42"/>
        <v>4.5999999999999999E-7</v>
      </c>
      <c r="K111" s="196">
        <v>5.6000000000000004E-7</v>
      </c>
      <c r="L111" s="167">
        <v>5.6000000000000004E-7</v>
      </c>
      <c r="M111" s="205">
        <f>L111</f>
        <v>5.6000000000000004E-7</v>
      </c>
      <c r="N111" s="101"/>
      <c r="O111" s="88"/>
      <c r="P111" s="102"/>
      <c r="Q111" s="88"/>
      <c r="R111" s="100"/>
      <c r="S111" s="111"/>
      <c r="T111" s="106"/>
      <c r="V111" s="76"/>
      <c r="W111" s="111"/>
      <c r="X111" s="106"/>
      <c r="Y111" s="84"/>
    </row>
    <row r="112" spans="1:25" x14ac:dyDescent="0.2">
      <c r="A112" s="14" t="s">
        <v>30</v>
      </c>
      <c r="B112" s="139">
        <f t="shared" si="27"/>
        <v>2.6000000000000001E-8</v>
      </c>
      <c r="C112" s="139">
        <f t="shared" si="28"/>
        <v>1.04E-5</v>
      </c>
      <c r="D112" s="139">
        <f t="shared" si="29"/>
        <v>7.7999999999999999E-6</v>
      </c>
      <c r="E112" s="218"/>
      <c r="G112" s="1" t="s">
        <v>27</v>
      </c>
      <c r="H112" s="185">
        <v>4.4999999999999998E-7</v>
      </c>
      <c r="I112" s="186">
        <f t="shared" si="42"/>
        <v>4.4999999999999998E-7</v>
      </c>
      <c r="J112" s="199">
        <f t="shared" si="42"/>
        <v>4.4999999999999998E-7</v>
      </c>
      <c r="K112" s="78"/>
      <c r="L112" s="80"/>
      <c r="M112" s="86"/>
      <c r="N112" s="92"/>
      <c r="O112" s="84"/>
      <c r="P112" s="89"/>
      <c r="Q112" s="84"/>
      <c r="R112" s="85"/>
      <c r="S112" s="105"/>
      <c r="T112" s="106"/>
      <c r="V112" s="78"/>
      <c r="W112" s="105"/>
      <c r="X112" s="106"/>
      <c r="Y112" s="84"/>
    </row>
    <row r="113" spans="1:25" x14ac:dyDescent="0.2">
      <c r="A113" s="15" t="s">
        <v>157</v>
      </c>
      <c r="B113" s="138">
        <f t="shared" si="27"/>
        <v>4.4999999999999998E-7</v>
      </c>
      <c r="C113" s="138">
        <f t="shared" si="28"/>
        <v>1.7999999999999998E-4</v>
      </c>
      <c r="D113" s="138">
        <f t="shared" si="29"/>
        <v>1.3499999999999997E-4</v>
      </c>
      <c r="E113" s="218"/>
      <c r="G113" s="1" t="s">
        <v>28</v>
      </c>
      <c r="H113" s="185">
        <v>6.0999999999999998E-7</v>
      </c>
      <c r="I113" s="186">
        <f t="shared" si="42"/>
        <v>6.0999999999999998E-7</v>
      </c>
      <c r="J113" s="199">
        <f t="shared" si="42"/>
        <v>6.0999999999999998E-7</v>
      </c>
      <c r="K113" s="185">
        <v>4.0999999999999999E-7</v>
      </c>
      <c r="L113" s="186">
        <v>4.0999999999999999E-7</v>
      </c>
      <c r="M113" s="184">
        <f t="shared" ref="M113:M122" si="46">L113</f>
        <v>4.0999999999999999E-7</v>
      </c>
      <c r="N113" s="92"/>
      <c r="O113" s="84"/>
      <c r="P113" s="89"/>
      <c r="Q113" s="84"/>
      <c r="R113" s="85"/>
      <c r="S113" s="105"/>
      <c r="T113" s="106"/>
      <c r="V113" s="78"/>
      <c r="W113" s="105"/>
      <c r="X113" s="106"/>
      <c r="Y113" s="84"/>
    </row>
    <row r="114" spans="1:25" x14ac:dyDescent="0.2">
      <c r="A114" s="14" t="s">
        <v>6</v>
      </c>
      <c r="B114" s="139">
        <f t="shared" si="27"/>
        <v>1.5E-5</v>
      </c>
      <c r="C114" s="139">
        <f t="shared" si="28"/>
        <v>6.0000000000000001E-3</v>
      </c>
      <c r="D114" s="139">
        <f t="shared" si="29"/>
        <v>4.4999999999999997E-3</v>
      </c>
      <c r="E114" s="218"/>
      <c r="G114" s="1" t="s">
        <v>29</v>
      </c>
      <c r="H114" s="185">
        <v>5.7000000000000005E-7</v>
      </c>
      <c r="I114" s="186">
        <f t="shared" si="42"/>
        <v>5.7000000000000005E-7</v>
      </c>
      <c r="J114" s="199">
        <f t="shared" si="42"/>
        <v>5.7000000000000005E-7</v>
      </c>
      <c r="K114" s="185">
        <v>5.4999999999999999E-6</v>
      </c>
      <c r="L114" s="186">
        <v>5.4999999999999999E-6</v>
      </c>
      <c r="M114" s="184">
        <f t="shared" si="46"/>
        <v>5.4999999999999999E-6</v>
      </c>
      <c r="N114" s="92"/>
      <c r="O114" s="84"/>
      <c r="P114" s="89"/>
      <c r="Q114" s="84"/>
      <c r="R114" s="85"/>
      <c r="S114" s="105"/>
      <c r="T114" s="106"/>
      <c r="V114" s="78"/>
      <c r="W114" s="105"/>
      <c r="X114" s="106"/>
      <c r="Y114" s="84"/>
    </row>
    <row r="115" spans="1:25" x14ac:dyDescent="0.2">
      <c r="A115" s="15" t="s">
        <v>31</v>
      </c>
      <c r="B115" s="138">
        <f t="shared" si="27"/>
        <v>7.7000000000000008E-6</v>
      </c>
      <c r="C115" s="138">
        <f t="shared" si="28"/>
        <v>3.0800000000000003E-3</v>
      </c>
      <c r="D115" s="138">
        <f t="shared" si="29"/>
        <v>2.31E-3</v>
      </c>
      <c r="E115" s="218"/>
      <c r="G115" s="20" t="s">
        <v>30</v>
      </c>
      <c r="H115" s="78"/>
      <c r="I115" s="80"/>
      <c r="J115" s="81"/>
      <c r="K115" s="185">
        <v>2.6000000000000001E-8</v>
      </c>
      <c r="L115" s="186">
        <v>2.6000000000000001E-8</v>
      </c>
      <c r="M115" s="184">
        <f t="shared" si="46"/>
        <v>2.6000000000000001E-8</v>
      </c>
      <c r="N115" s="92"/>
      <c r="O115" s="84"/>
      <c r="P115" s="89"/>
      <c r="Q115" s="84"/>
      <c r="R115" s="85"/>
      <c r="S115" s="105"/>
      <c r="T115" s="106"/>
      <c r="V115" s="78"/>
      <c r="W115" s="105"/>
      <c r="X115" s="106"/>
      <c r="Y115" s="84"/>
    </row>
    <row r="116" spans="1:25" x14ac:dyDescent="0.2">
      <c r="A116" s="14" t="s">
        <v>32</v>
      </c>
      <c r="B116" s="139">
        <f t="shared" si="27"/>
        <v>2.6000000000000001E-6</v>
      </c>
      <c r="C116" s="139">
        <f t="shared" si="28"/>
        <v>1.0400000000000001E-3</v>
      </c>
      <c r="D116" s="139">
        <f t="shared" si="29"/>
        <v>7.7999999999999999E-4</v>
      </c>
      <c r="E116" s="218"/>
      <c r="G116" s="20" t="s">
        <v>157</v>
      </c>
      <c r="H116" s="185">
        <v>4.8E-8</v>
      </c>
      <c r="I116" s="186">
        <f t="shared" si="42"/>
        <v>4.8E-8</v>
      </c>
      <c r="J116" s="199">
        <f t="shared" si="42"/>
        <v>4.8E-8</v>
      </c>
      <c r="K116" s="185">
        <v>4.4999999999999998E-7</v>
      </c>
      <c r="L116" s="186">
        <v>4.4999999999999998E-7</v>
      </c>
      <c r="M116" s="184">
        <f t="shared" si="46"/>
        <v>4.4999999999999998E-7</v>
      </c>
      <c r="N116" s="92"/>
      <c r="O116" s="84"/>
      <c r="P116" s="89"/>
      <c r="Q116" s="84"/>
      <c r="R116" s="85"/>
      <c r="S116" s="105"/>
      <c r="T116" s="106"/>
      <c r="V116" s="78"/>
      <c r="W116" s="105"/>
      <c r="X116" s="106"/>
      <c r="Y116" s="84"/>
    </row>
    <row r="117" spans="1:25" x14ac:dyDescent="0.2">
      <c r="A117" s="15" t="s">
        <v>33</v>
      </c>
      <c r="B117" s="138">
        <f t="shared" si="27"/>
        <v>6.3E-5</v>
      </c>
      <c r="C117" s="138">
        <f t="shared" si="28"/>
        <v>2.52E-2</v>
      </c>
      <c r="D117" s="138">
        <f t="shared" si="29"/>
        <v>1.89E-2</v>
      </c>
      <c r="E117" s="218"/>
      <c r="G117" s="1" t="s">
        <v>6</v>
      </c>
      <c r="H117" s="185">
        <v>8.8999999999999995E-7</v>
      </c>
      <c r="I117" s="186">
        <f t="shared" si="42"/>
        <v>8.8999999999999995E-7</v>
      </c>
      <c r="J117" s="199">
        <f t="shared" si="42"/>
        <v>8.8999999999999995E-7</v>
      </c>
      <c r="K117" s="185">
        <v>6.1999999999999999E-7</v>
      </c>
      <c r="L117" s="186">
        <v>1.5E-5</v>
      </c>
      <c r="M117" s="184">
        <f t="shared" si="46"/>
        <v>1.5E-5</v>
      </c>
      <c r="N117" s="92"/>
      <c r="O117" s="84"/>
      <c r="P117" s="89"/>
      <c r="Q117" s="84"/>
      <c r="R117" s="85"/>
      <c r="S117" s="105"/>
      <c r="T117" s="106"/>
      <c r="V117" s="78"/>
      <c r="W117" s="105"/>
      <c r="X117" s="106"/>
      <c r="Y117" s="84"/>
    </row>
    <row r="118" spans="1:25" x14ac:dyDescent="0.2">
      <c r="A118" s="14" t="s">
        <v>57</v>
      </c>
      <c r="B118" s="139">
        <f t="shared" si="27"/>
        <v>2.8E-5</v>
      </c>
      <c r="C118" s="139">
        <f t="shared" si="28"/>
        <v>1.12E-2</v>
      </c>
      <c r="D118" s="139">
        <f t="shared" si="29"/>
        <v>8.4000000000000012E-3</v>
      </c>
      <c r="E118" s="218"/>
      <c r="G118" s="1" t="s">
        <v>31</v>
      </c>
      <c r="H118" s="185">
        <v>6.9E-6</v>
      </c>
      <c r="I118" s="186">
        <f t="shared" si="42"/>
        <v>6.9E-6</v>
      </c>
      <c r="J118" s="199">
        <f t="shared" si="42"/>
        <v>6.9E-6</v>
      </c>
      <c r="K118" s="185">
        <v>7.7000000000000008E-6</v>
      </c>
      <c r="L118" s="186">
        <v>7.7000000000000008E-6</v>
      </c>
      <c r="M118" s="184">
        <f t="shared" si="46"/>
        <v>7.7000000000000008E-6</v>
      </c>
      <c r="N118" s="92"/>
      <c r="O118" s="84"/>
      <c r="P118" s="89"/>
      <c r="Q118" s="84"/>
      <c r="R118" s="85"/>
      <c r="S118" s="105"/>
      <c r="T118" s="106"/>
      <c r="V118" s="78"/>
      <c r="W118" s="105"/>
      <c r="X118" s="106"/>
      <c r="Y118" s="84"/>
    </row>
    <row r="119" spans="1:25" x14ac:dyDescent="0.2">
      <c r="A119" s="15" t="s">
        <v>34</v>
      </c>
      <c r="B119" s="138">
        <f t="shared" si="27"/>
        <v>3.4999999999999998E-7</v>
      </c>
      <c r="C119" s="138">
        <f t="shared" si="28"/>
        <v>1.3999999999999999E-4</v>
      </c>
      <c r="D119" s="138">
        <f t="shared" si="29"/>
        <v>1.0499999999999999E-4</v>
      </c>
      <c r="E119" s="218"/>
      <c r="G119" s="1" t="s">
        <v>32</v>
      </c>
      <c r="H119" s="185">
        <v>4.0999999999999999E-7</v>
      </c>
      <c r="I119" s="186">
        <f t="shared" si="42"/>
        <v>4.0999999999999999E-7</v>
      </c>
      <c r="J119" s="199">
        <f t="shared" si="42"/>
        <v>4.0999999999999999E-7</v>
      </c>
      <c r="K119" s="185">
        <v>2.3999999999999998E-7</v>
      </c>
      <c r="L119" s="186">
        <v>2.6000000000000001E-6</v>
      </c>
      <c r="M119" s="184">
        <f t="shared" si="46"/>
        <v>2.6000000000000001E-6</v>
      </c>
      <c r="N119" s="92"/>
      <c r="O119" s="84"/>
      <c r="P119" s="89"/>
      <c r="Q119" s="84"/>
      <c r="R119" s="85"/>
      <c r="S119" s="105"/>
      <c r="T119" s="106"/>
      <c r="V119" s="78"/>
      <c r="W119" s="105"/>
      <c r="X119" s="106"/>
      <c r="Y119" s="84"/>
    </row>
    <row r="120" spans="1:25" x14ac:dyDescent="0.2">
      <c r="A120" s="14" t="s">
        <v>154</v>
      </c>
      <c r="B120" s="139">
        <f t="shared" si="27"/>
        <v>7.8999999999999999E-11</v>
      </c>
      <c r="C120" s="139">
        <f t="shared" si="28"/>
        <v>3.8742857142857138E-8</v>
      </c>
      <c r="D120" s="139">
        <f t="shared" si="29"/>
        <v>5.4985714285714287E-8</v>
      </c>
      <c r="E120" s="218"/>
      <c r="G120" s="1" t="s">
        <v>33</v>
      </c>
      <c r="H120" s="185">
        <v>3.0000000000000001E-6</v>
      </c>
      <c r="I120" s="186">
        <f t="shared" si="42"/>
        <v>3.0000000000000001E-6</v>
      </c>
      <c r="J120" s="199">
        <f t="shared" si="42"/>
        <v>3.0000000000000001E-6</v>
      </c>
      <c r="K120" s="185">
        <v>6.3E-5</v>
      </c>
      <c r="L120" s="186">
        <v>6.3E-5</v>
      </c>
      <c r="M120" s="184">
        <f t="shared" si="46"/>
        <v>6.3E-5</v>
      </c>
      <c r="N120" s="92"/>
      <c r="O120" s="84"/>
      <c r="P120" s="89"/>
      <c r="Q120" s="84"/>
      <c r="R120" s="85"/>
      <c r="S120" s="105"/>
      <c r="T120" s="106"/>
      <c r="V120" s="78"/>
      <c r="W120" s="105"/>
      <c r="X120" s="106"/>
      <c r="Y120" s="84"/>
    </row>
    <row r="121" spans="1:25" ht="13.5" thickBot="1" x14ac:dyDescent="0.25">
      <c r="A121" s="158" t="s">
        <v>155</v>
      </c>
      <c r="B121" s="147">
        <f t="shared" si="27"/>
        <v>3.9999999999999998E-11</v>
      </c>
      <c r="C121" s="147">
        <f t="shared" si="28"/>
        <v>1.7107142857142856E-8</v>
      </c>
      <c r="D121" s="147">
        <f t="shared" si="29"/>
        <v>1.6849285714285711E-8</v>
      </c>
      <c r="E121" s="219"/>
      <c r="G121" s="1" t="s">
        <v>57</v>
      </c>
      <c r="H121" s="78"/>
      <c r="I121" s="80"/>
      <c r="J121" s="81"/>
      <c r="K121" s="185">
        <v>2.8E-5</v>
      </c>
      <c r="L121" s="186">
        <v>2.8E-5</v>
      </c>
      <c r="M121" s="184">
        <f t="shared" si="46"/>
        <v>2.8E-5</v>
      </c>
      <c r="N121" s="92"/>
      <c r="O121" s="84"/>
      <c r="P121" s="89"/>
      <c r="Q121" s="84"/>
      <c r="R121" s="85"/>
      <c r="S121" s="105"/>
      <c r="T121" s="106"/>
      <c r="V121" s="78"/>
      <c r="W121" s="105"/>
      <c r="X121" s="106"/>
      <c r="Y121" s="84"/>
    </row>
    <row r="122" spans="1:25" x14ac:dyDescent="0.2">
      <c r="G122" s="1" t="s">
        <v>34</v>
      </c>
      <c r="H122" s="185">
        <v>4.8999999999999997E-7</v>
      </c>
      <c r="I122" s="186">
        <f t="shared" si="42"/>
        <v>4.8999999999999997E-7</v>
      </c>
      <c r="J122" s="199">
        <f t="shared" si="42"/>
        <v>4.8999999999999997E-7</v>
      </c>
      <c r="K122" s="185">
        <v>3.4999999999999998E-7</v>
      </c>
      <c r="L122" s="186">
        <v>3.4999999999999998E-7</v>
      </c>
      <c r="M122" s="184">
        <f t="shared" si="46"/>
        <v>3.4999999999999998E-7</v>
      </c>
      <c r="N122" s="92"/>
      <c r="O122" s="84"/>
      <c r="P122" s="89"/>
      <c r="Q122" s="84"/>
      <c r="R122" s="85"/>
      <c r="S122" s="105"/>
      <c r="T122" s="106"/>
      <c r="V122" s="78"/>
      <c r="W122" s="105"/>
      <c r="X122" s="106"/>
      <c r="Y122" s="84"/>
    </row>
    <row r="123" spans="1:25" x14ac:dyDescent="0.2">
      <c r="G123" s="20" t="s">
        <v>154</v>
      </c>
      <c r="H123" s="78"/>
      <c r="I123" s="80"/>
      <c r="J123" s="81"/>
      <c r="K123" s="78"/>
      <c r="L123" s="80"/>
      <c r="M123" s="184">
        <v>7.8999999999999999E-11</v>
      </c>
      <c r="N123" s="92"/>
      <c r="O123" s="84"/>
      <c r="P123" s="89"/>
      <c r="Q123" s="84"/>
      <c r="R123" s="85"/>
      <c r="S123" s="105"/>
      <c r="T123" s="106"/>
      <c r="V123" s="78">
        <v>2.0000000000000001E-10</v>
      </c>
      <c r="W123" s="107">
        <f t="shared" ref="W123:W124" si="47">V123*1000/$L$4</f>
        <v>1.4285714285714286E-9</v>
      </c>
      <c r="X123" s="108">
        <f t="shared" ref="X123:X124" si="48">W123*$B$7</f>
        <v>7.142857142857143E-9</v>
      </c>
      <c r="Y123" s="87">
        <f t="shared" ref="Y123:Y124" si="49">X123*8760/2000</f>
        <v>3.1285714285714286E-8</v>
      </c>
    </row>
    <row r="124" spans="1:25" x14ac:dyDescent="0.2">
      <c r="G124" s="20" t="s">
        <v>155</v>
      </c>
      <c r="H124" s="78"/>
      <c r="I124" s="80"/>
      <c r="J124" s="81"/>
      <c r="K124" s="78"/>
      <c r="L124" s="80"/>
      <c r="M124" s="184">
        <v>3.9999999999999998E-11</v>
      </c>
      <c r="N124" s="92"/>
      <c r="O124" s="84"/>
      <c r="P124" s="89"/>
      <c r="Q124" s="84"/>
      <c r="R124" s="85"/>
      <c r="S124" s="105"/>
      <c r="T124" s="106"/>
      <c r="V124" s="78">
        <v>3.1000000000000003E-11</v>
      </c>
      <c r="W124" s="107">
        <f t="shared" si="47"/>
        <v>2.2142857142857141E-10</v>
      </c>
      <c r="X124" s="108">
        <f t="shared" si="48"/>
        <v>1.107142857142857E-9</v>
      </c>
      <c r="Y124" s="87">
        <f t="shared" si="49"/>
        <v>4.8492857142857138E-9</v>
      </c>
    </row>
  </sheetData>
  <sheetProtection password="ED7B" sheet="1" objects="1" scenarios="1" selectLockedCells="1"/>
  <protectedRanges>
    <protectedRange sqref="B3:B7 B12:C15" name="Input Cells"/>
  </protectedRanges>
  <mergeCells count="21">
    <mergeCell ref="N66:O66"/>
    <mergeCell ref="P66:Q66"/>
    <mergeCell ref="R65:Y65"/>
    <mergeCell ref="V66:Y66"/>
    <mergeCell ref="R66:U66"/>
    <mergeCell ref="E89:E121"/>
    <mergeCell ref="H66:J66"/>
    <mergeCell ref="K66:M66"/>
    <mergeCell ref="H65:M65"/>
    <mergeCell ref="A1:E1"/>
    <mergeCell ref="B6:D6"/>
    <mergeCell ref="E21:E23"/>
    <mergeCell ref="E26:E28"/>
    <mergeCell ref="E44:E45"/>
    <mergeCell ref="E53:E55"/>
    <mergeCell ref="E48:E50"/>
    <mergeCell ref="E17:E18"/>
    <mergeCell ref="E11:E13"/>
    <mergeCell ref="E37:E40"/>
    <mergeCell ref="E31:E34"/>
    <mergeCell ref="E59:E82"/>
  </mergeCells>
  <dataValidations count="2">
    <dataValidation type="list" allowBlank="1" showInputMessage="1" showErrorMessage="1" sqref="B5">
      <formula1>"Drum Mix, Batch Mix"</formula1>
    </dataValidation>
    <dataValidation type="list" allowBlank="1" showInputMessage="1" showErrorMessage="1" sqref="B6:D6">
      <formula1>"Natural Gas Only, Nat Gas &amp; Fuel Oil, Nat Gas + Fuel Oil + Waste Oil"</formula1>
    </dataValidation>
  </dataValidations>
  <pageMargins left="0.7" right="0.7" top="0.75" bottom="0.75" header="0.3" footer="0.3"/>
  <pageSetup fitToHeight="4"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HMAP</vt:lpstr>
      <vt:lpstr>HMAP!Print_Area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2018-11-29T18:45:20Z</dcterms:modified>
</cp:coreProperties>
</file>